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esktop\02.노선담당 인수인계\01.노선운영 관련\(2025.08.06~08.17) 0시 축제 우회운행\"/>
    </mc:Choice>
  </mc:AlternateContent>
  <bookViews>
    <workbookView xWindow="360" yWindow="1410" windowWidth="28035" windowHeight="11400"/>
  </bookViews>
  <sheets>
    <sheet name="0시축제" sheetId="4" r:id="rId1"/>
  </sheets>
  <definedNames>
    <definedName name="_xlnm.Print_Area" localSheetId="0">'0시축제'!$A$1:$AL$34</definedName>
    <definedName name="_xlnm.Print_Titles" localSheetId="0">'0시축제'!$3:$5</definedName>
  </definedNames>
  <calcPr calcId="162913"/>
</workbook>
</file>

<file path=xl/calcChain.xml><?xml version="1.0" encoding="utf-8"?>
<calcChain xmlns="http://schemas.openxmlformats.org/spreadsheetml/2006/main">
  <c r="X17" i="4" l="1"/>
  <c r="W17" i="4"/>
  <c r="X16" i="4"/>
  <c r="W16" i="4"/>
  <c r="X15" i="4"/>
  <c r="W15" i="4"/>
  <c r="X12" i="4"/>
  <c r="W12" i="4"/>
  <c r="X11" i="4"/>
  <c r="X6" i="4"/>
  <c r="W6" i="4"/>
  <c r="AI34" i="4"/>
  <c r="AH34" i="4"/>
  <c r="AG34" i="4"/>
  <c r="AH33" i="4"/>
  <c r="AI32" i="4"/>
  <c r="AI30" i="4"/>
  <c r="AH30" i="4"/>
  <c r="AG30" i="4"/>
  <c r="AI27" i="4"/>
  <c r="AH27" i="4"/>
  <c r="AG27" i="4"/>
  <c r="AG23" i="4"/>
  <c r="AI22" i="4"/>
  <c r="AI21" i="4"/>
  <c r="AH21" i="4"/>
  <c r="AI17" i="4"/>
  <c r="AI15" i="4"/>
  <c r="AH15" i="4"/>
  <c r="AG15" i="4"/>
  <c r="AI13" i="4"/>
  <c r="AH13" i="4"/>
  <c r="AG13" i="4"/>
  <c r="AI11" i="4"/>
  <c r="AH11" i="4"/>
  <c r="AG11" i="4"/>
  <c r="AI9" i="4"/>
  <c r="AH9" i="4"/>
  <c r="AI6" i="4"/>
  <c r="Q34" i="4"/>
  <c r="P34" i="4"/>
  <c r="O34" i="4"/>
  <c r="G34" i="4"/>
  <c r="P33" i="4"/>
  <c r="F33" i="4"/>
  <c r="E33" i="4"/>
  <c r="G33" i="4" s="1"/>
  <c r="Q32" i="4"/>
  <c r="G32" i="4"/>
  <c r="G31" i="4"/>
  <c r="Q30" i="4"/>
  <c r="P30" i="4"/>
  <c r="O30" i="4"/>
  <c r="G30" i="4"/>
  <c r="G29" i="4"/>
  <c r="G28" i="4"/>
  <c r="Q27" i="4"/>
  <c r="P27" i="4"/>
  <c r="O27" i="4"/>
  <c r="G27" i="4"/>
  <c r="F26" i="4"/>
  <c r="E26" i="4"/>
  <c r="G26" i="4" s="1"/>
  <c r="F25" i="4"/>
  <c r="E25" i="4"/>
  <c r="G25" i="4" s="1"/>
  <c r="E24" i="4"/>
  <c r="G24" i="4" s="1"/>
  <c r="O23" i="4"/>
  <c r="G23" i="4"/>
  <c r="Q22" i="4"/>
  <c r="G22" i="4"/>
  <c r="Q21" i="4"/>
  <c r="P21" i="4"/>
  <c r="G21" i="4"/>
  <c r="G20" i="4"/>
  <c r="G19" i="4"/>
  <c r="G18" i="4"/>
  <c r="Q17" i="4"/>
  <c r="F17" i="4"/>
  <c r="G17" i="4" s="1"/>
  <c r="E17" i="4"/>
  <c r="F16" i="4"/>
  <c r="G16" i="4" s="1"/>
  <c r="E16" i="4"/>
  <c r="Q15" i="4"/>
  <c r="P15" i="4"/>
  <c r="O15" i="4"/>
  <c r="F15" i="4"/>
  <c r="G15" i="4" s="1"/>
  <c r="E15" i="4"/>
  <c r="E14" i="4"/>
  <c r="G14" i="4" s="1"/>
  <c r="Q13" i="4"/>
  <c r="P13" i="4"/>
  <c r="O13" i="4"/>
  <c r="E13" i="4"/>
  <c r="G13" i="4" s="1"/>
  <c r="F12" i="4"/>
  <c r="G12" i="4" s="1"/>
  <c r="E12" i="4"/>
  <c r="Q11" i="4"/>
  <c r="P11" i="4"/>
  <c r="O11" i="4"/>
  <c r="G11" i="4"/>
  <c r="F10" i="4"/>
  <c r="E10" i="4"/>
  <c r="G10" i="4" s="1"/>
  <c r="Q9" i="4"/>
  <c r="P9" i="4"/>
  <c r="G9" i="4"/>
  <c r="G8" i="4"/>
  <c r="G7" i="4"/>
  <c r="Q6" i="4"/>
  <c r="F6" i="4"/>
  <c r="G6" i="4" s="1"/>
  <c r="E6" i="4"/>
  <c r="X33" i="4" l="1"/>
  <c r="W33" i="4"/>
  <c r="W14" i="4"/>
  <c r="W11" i="4"/>
  <c r="X10" i="4"/>
  <c r="W10" i="4"/>
  <c r="X7" i="4"/>
  <c r="W7" i="4"/>
  <c r="Y8" i="4"/>
  <c r="X34" i="4" l="1"/>
  <c r="W34" i="4"/>
  <c r="X13" i="4"/>
  <c r="X32" i="4"/>
  <c r="W32" i="4"/>
  <c r="W31" i="4"/>
  <c r="X30" i="4"/>
  <c r="W30" i="4"/>
  <c r="W29" i="4"/>
  <c r="X29" i="4"/>
  <c r="X27" i="4"/>
  <c r="W27" i="4"/>
  <c r="X23" i="4"/>
  <c r="W23" i="4"/>
  <c r="X22" i="4"/>
  <c r="W22" i="4"/>
  <c r="X21" i="4"/>
  <c r="W21" i="4"/>
  <c r="X18" i="4"/>
  <c r="W18" i="4"/>
  <c r="X20" i="4"/>
  <c r="W20" i="4"/>
  <c r="X19" i="4"/>
  <c r="W19" i="4"/>
  <c r="X14" i="4"/>
  <c r="X9" i="4"/>
  <c r="W9" i="4"/>
  <c r="Y34" i="4" l="1"/>
  <c r="Y13" i="4"/>
  <c r="Y33" i="4"/>
  <c r="Y32" i="4"/>
  <c r="Y31" i="4"/>
  <c r="Y30" i="4"/>
  <c r="Y29" i="4"/>
  <c r="Y28" i="4"/>
  <c r="Y27" i="4"/>
  <c r="Y24" i="4"/>
  <c r="Y23" i="4"/>
  <c r="Y22" i="4"/>
  <c r="Y21" i="4"/>
  <c r="Y18" i="4"/>
  <c r="Y20" i="4"/>
  <c r="Y17" i="4"/>
  <c r="Y19" i="4"/>
  <c r="Y16" i="4"/>
  <c r="Y15" i="4"/>
  <c r="Y14" i="4"/>
  <c r="Y12" i="4"/>
  <c r="Y11" i="4"/>
  <c r="Y10" i="4"/>
  <c r="Y9" i="4"/>
  <c r="Y7" i="4"/>
  <c r="Y6" i="4"/>
  <c r="Y26" i="4" l="1"/>
  <c r="Y25" i="4"/>
  <c r="AE35" i="4" l="1"/>
  <c r="AC35" i="4"/>
  <c r="AD35" i="4"/>
  <c r="A35" i="4"/>
</calcChain>
</file>

<file path=xl/comments1.xml><?xml version="1.0" encoding="utf-8"?>
<comments xmlns="http://schemas.openxmlformats.org/spreadsheetml/2006/main">
  <authors>
    <author>ceo</author>
    <author>Windows10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추가감차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)</t>
        </r>
      </text>
    </comment>
    <comment ref="AC6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추가감차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)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O7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 xml:space="preserve">대
</t>
        </r>
      </text>
    </comment>
    <comment ref="AC8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 xml:space="preserve">대
</t>
        </r>
      </text>
    </comment>
    <comment ref="O9" authorId="1" shapeId="0">
      <text>
        <r>
          <rPr>
            <b/>
            <sz val="9"/>
            <color indexed="81"/>
            <rFont val="Tahoma"/>
            <family val="2"/>
          </rPr>
          <t xml:space="preserve">2025.8.1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 xml:space="preserve">2025.8.1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추가감차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)</t>
        </r>
      </text>
    </comment>
    <comment ref="O10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감회
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
평일은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휴토는</t>
        </r>
        <r>
          <rPr>
            <b/>
            <sz val="9"/>
            <color indexed="81"/>
            <rFont val="Tahoma"/>
            <family val="2"/>
          </rPr>
          <t xml:space="preserve"> 1.5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감회
</t>
        </r>
        <r>
          <rPr>
            <b/>
            <sz val="9"/>
            <color indexed="81"/>
            <rFont val="Tahoma"/>
            <family val="2"/>
          </rPr>
          <t xml:space="preserve">2025.8.1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
평일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회충전감회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0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추가감차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)</t>
        </r>
      </text>
    </comment>
    <comment ref="AG10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감회
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
평일은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휴토는</t>
        </r>
        <r>
          <rPr>
            <b/>
            <sz val="9"/>
            <color indexed="81"/>
            <rFont val="Tahoma"/>
            <family val="2"/>
          </rPr>
          <t xml:space="preserve"> 1.5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감회
</t>
        </r>
        <r>
          <rPr>
            <b/>
            <sz val="9"/>
            <color indexed="81"/>
            <rFont val="Tahoma"/>
            <family val="2"/>
          </rPr>
          <t xml:space="preserve">2025.8.1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
평일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회충전감회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유지</t>
        </r>
      </text>
    </comment>
    <comment ref="AH10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10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>
      <text>
        <r>
          <rPr>
            <b/>
            <sz val="9"/>
            <color indexed="81"/>
            <rFont val="Tahoma"/>
            <family val="2"/>
          </rPr>
          <t xml:space="preserve">2025.8.1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0.5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=&gt; </t>
        </r>
        <r>
          <rPr>
            <b/>
            <sz val="9"/>
            <color indexed="81"/>
            <rFont val="돋움"/>
            <family val="3"/>
            <charset val="129"/>
          </rPr>
          <t>집중배차로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조정</t>
        </r>
      </text>
    </comment>
    <comment ref="AG14" authorId="1" shapeId="0">
      <text>
        <r>
          <rPr>
            <b/>
            <sz val="9"/>
            <color indexed="81"/>
            <rFont val="Tahoma"/>
            <family val="2"/>
          </rPr>
          <t xml:space="preserve">2025.8.1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0.5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=&gt; </t>
        </r>
        <r>
          <rPr>
            <b/>
            <sz val="9"/>
            <color indexed="81"/>
            <rFont val="돋움"/>
            <family val="3"/>
            <charset val="129"/>
          </rPr>
          <t>집중배차로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조정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C15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C19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코로나</t>
        </r>
        <r>
          <rPr>
            <sz val="9"/>
            <color indexed="81"/>
            <rFont val="Tahoma"/>
            <family val="2"/>
          </rPr>
          <t xml:space="preserve">19 </t>
        </r>
        <r>
          <rPr>
            <sz val="9"/>
            <color indexed="81"/>
            <rFont val="돋움"/>
            <family val="3"/>
            <charset val="129"/>
          </rPr>
          <t>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
첨단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번에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투입
</t>
        </r>
      </text>
    </comment>
    <comment ref="O20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C20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코로나</t>
        </r>
        <r>
          <rPr>
            <sz val="9"/>
            <color indexed="81"/>
            <rFont val="Tahoma"/>
            <family val="2"/>
          </rPr>
          <t xml:space="preserve">19 </t>
        </r>
        <r>
          <rPr>
            <sz val="9"/>
            <color indexed="81"/>
            <rFont val="돋움"/>
            <family val="3"/>
            <charset val="129"/>
          </rPr>
          <t>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
첨단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번에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투입
</t>
        </r>
      </text>
    </comment>
    <comment ref="AG20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G21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0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/ 3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환원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C22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0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/ 3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환원</t>
        </r>
      </text>
    </comment>
    <comment ref="AG22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C23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코로나</t>
        </r>
        <r>
          <rPr>
            <sz val="9"/>
            <color indexed="81"/>
            <rFont val="Tahoma"/>
            <family val="2"/>
          </rPr>
          <t xml:space="preserve">19 </t>
        </r>
        <r>
          <rPr>
            <sz val="9"/>
            <color indexed="81"/>
            <rFont val="돋움"/>
            <family val="3"/>
            <charset val="129"/>
          </rPr>
          <t>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
첨단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번에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투입
</t>
        </r>
      </text>
    </comment>
    <comment ref="AC24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코로나</t>
        </r>
        <r>
          <rPr>
            <sz val="9"/>
            <color indexed="81"/>
            <rFont val="Tahoma"/>
            <family val="2"/>
          </rPr>
          <t xml:space="preserve">19 </t>
        </r>
        <r>
          <rPr>
            <sz val="9"/>
            <color indexed="81"/>
            <rFont val="돋움"/>
            <family val="3"/>
            <charset val="129"/>
          </rPr>
          <t>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
첨단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번에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투입
</t>
        </r>
      </text>
    </comment>
    <comment ref="K25" authorId="0" shapeId="0">
      <text>
        <r>
          <rPr>
            <b/>
            <sz val="9"/>
            <color indexed="81"/>
            <rFont val="돋움"/>
            <family val="3"/>
            <charset val="129"/>
          </rPr>
          <t>오후감차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복귀</t>
        </r>
      </text>
    </comment>
    <comment ref="O25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C25" authorId="0" shapeId="0">
      <text>
        <r>
          <rPr>
            <b/>
            <sz val="9"/>
            <color indexed="81"/>
            <rFont val="돋움"/>
            <family val="3"/>
            <charset val="129"/>
          </rPr>
          <t>오후감차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복귀</t>
        </r>
      </text>
    </comment>
    <comment ref="AG25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K27" authorId="1" shapeId="0">
      <text>
        <r>
          <rPr>
            <sz val="9"/>
            <color indexed="81"/>
            <rFont val="Tahoma"/>
            <family val="2"/>
          </rPr>
          <t xml:space="preserve">
2025.3.4 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복귀</t>
        </r>
      </text>
    </comment>
    <comment ref="AC27" authorId="1" shapeId="0">
      <text>
        <r>
          <rPr>
            <sz val="9"/>
            <color indexed="81"/>
            <rFont val="Tahoma"/>
            <family val="2"/>
          </rPr>
          <t xml:space="preserve">
2025.3.4 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복귀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C28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O29" authorId="0" shapeId="0">
      <text>
        <r>
          <rPr>
            <sz val="9"/>
            <color indexed="81"/>
            <rFont val="돋움"/>
            <family val="3"/>
            <charset val="129"/>
          </rPr>
          <t>수소버스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중간충전시간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동신고</t>
        </r>
        <r>
          <rPr>
            <sz val="9"/>
            <color indexed="81"/>
            <rFont val="Tahoma"/>
            <family val="2"/>
          </rPr>
          <t>~</t>
        </r>
        <r>
          <rPr>
            <sz val="9"/>
            <color indexed="81"/>
            <rFont val="돋움"/>
            <family val="3"/>
            <charset val="129"/>
          </rPr>
          <t>낭월동</t>
        </r>
        <r>
          <rPr>
            <sz val="9"/>
            <color indexed="81"/>
            <rFont val="Tahoma"/>
            <family val="2"/>
          </rPr>
          <t xml:space="preserve">)
2023.10.13 </t>
        </r>
        <r>
          <rPr>
            <sz val="9"/>
            <color indexed="81"/>
            <rFont val="돋움"/>
            <family val="3"/>
            <charset val="129"/>
          </rPr>
          <t>시행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운행횟수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평</t>
        </r>
        <r>
          <rPr>
            <sz val="9"/>
            <color indexed="81"/>
            <rFont val="Tahoma"/>
            <family val="2"/>
          </rPr>
          <t xml:space="preserve"> 85 =&gt; 83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,
                      </t>
        </r>
        <r>
          <rPr>
            <sz val="9"/>
            <color indexed="81"/>
            <rFont val="돋움"/>
            <family val="3"/>
            <charset val="129"/>
          </rPr>
          <t>휴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 65 =&gt; 63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 xml:space="preserve">2024.3.26 </t>
        </r>
        <r>
          <rPr>
            <sz val="9"/>
            <color indexed="81"/>
            <rFont val="돋움"/>
            <family val="3"/>
            <charset val="129"/>
          </rPr>
          <t>증차분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(CNG) </t>
        </r>
        <r>
          <rPr>
            <sz val="9"/>
            <color indexed="81"/>
            <rFont val="돋움"/>
            <family val="3"/>
            <charset val="129"/>
          </rPr>
          <t>투입
운행횟수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평</t>
        </r>
        <r>
          <rPr>
            <sz val="9"/>
            <color indexed="81"/>
            <rFont val="Tahoma"/>
            <family val="2"/>
          </rPr>
          <t xml:space="preserve"> 83 =&gt; 88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 xml:space="preserve">               </t>
        </r>
        <r>
          <rPr>
            <sz val="9"/>
            <color indexed="81"/>
            <rFont val="돋움"/>
            <family val="3"/>
            <charset val="129"/>
          </rPr>
          <t>휴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 63 =&gt; 68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회충전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 -1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 xml:space="preserve">2025.8.1
</t>
        </r>
        <r>
          <rPr>
            <sz val="9"/>
            <color indexed="81"/>
            <rFont val="돋움"/>
            <family val="3"/>
            <charset val="129"/>
          </rPr>
          <t>오후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집중배차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시행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감회
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회충전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 =&gt; </t>
        </r>
        <r>
          <rPr>
            <sz val="9"/>
            <color indexed="81"/>
            <rFont val="돋움"/>
            <family val="3"/>
            <charset val="129"/>
          </rPr>
          <t>집중배차로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P29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9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29" authorId="0" shapeId="0">
      <text>
        <r>
          <rPr>
            <sz val="9"/>
            <color indexed="81"/>
            <rFont val="돋움"/>
            <family val="3"/>
            <charset val="129"/>
          </rPr>
          <t>수소버스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중간충전시간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부여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동신고</t>
        </r>
        <r>
          <rPr>
            <sz val="9"/>
            <color indexed="81"/>
            <rFont val="Tahoma"/>
            <family val="2"/>
          </rPr>
          <t>~</t>
        </r>
        <r>
          <rPr>
            <sz val="9"/>
            <color indexed="81"/>
            <rFont val="돋움"/>
            <family val="3"/>
            <charset val="129"/>
          </rPr>
          <t>낭월동</t>
        </r>
        <r>
          <rPr>
            <sz val="9"/>
            <color indexed="81"/>
            <rFont val="Tahoma"/>
            <family val="2"/>
          </rPr>
          <t xml:space="preserve">)
2023.10.13 </t>
        </r>
        <r>
          <rPr>
            <sz val="9"/>
            <color indexed="81"/>
            <rFont val="돋움"/>
            <family val="3"/>
            <charset val="129"/>
          </rPr>
          <t>시행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운행횟수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평</t>
        </r>
        <r>
          <rPr>
            <sz val="9"/>
            <color indexed="81"/>
            <rFont val="Tahoma"/>
            <family val="2"/>
          </rPr>
          <t xml:space="preserve"> 85 =&gt; 83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,
                      </t>
        </r>
        <r>
          <rPr>
            <sz val="9"/>
            <color indexed="81"/>
            <rFont val="돋움"/>
            <family val="3"/>
            <charset val="129"/>
          </rPr>
          <t>휴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 65 =&gt; 63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 xml:space="preserve">2024.3.26 </t>
        </r>
        <r>
          <rPr>
            <sz val="9"/>
            <color indexed="81"/>
            <rFont val="돋움"/>
            <family val="3"/>
            <charset val="129"/>
          </rPr>
          <t>증차분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(CNG) </t>
        </r>
        <r>
          <rPr>
            <sz val="9"/>
            <color indexed="81"/>
            <rFont val="돋움"/>
            <family val="3"/>
            <charset val="129"/>
          </rPr>
          <t>투입
운행횟수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평</t>
        </r>
        <r>
          <rPr>
            <sz val="9"/>
            <color indexed="81"/>
            <rFont val="Tahoma"/>
            <family val="2"/>
          </rPr>
          <t xml:space="preserve"> 83 =&gt; 88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 xml:space="preserve">               </t>
        </r>
        <r>
          <rPr>
            <sz val="9"/>
            <color indexed="81"/>
            <rFont val="돋움"/>
            <family val="3"/>
            <charset val="129"/>
          </rPr>
          <t>휴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토</t>
        </r>
        <r>
          <rPr>
            <sz val="9"/>
            <color indexed="81"/>
            <rFont val="Tahoma"/>
            <family val="2"/>
          </rPr>
          <t xml:space="preserve"> 63 =&gt; 68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회충전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 -1</t>
        </r>
        <r>
          <rPr>
            <sz val="9"/>
            <color indexed="81"/>
            <rFont val="돋움"/>
            <family val="3"/>
            <charset val="129"/>
          </rPr>
          <t xml:space="preserve">회
</t>
        </r>
        <r>
          <rPr>
            <sz val="9"/>
            <color indexed="81"/>
            <rFont val="Tahoma"/>
            <family val="2"/>
          </rPr>
          <t xml:space="preserve">2025.8.1
</t>
        </r>
        <r>
          <rPr>
            <sz val="9"/>
            <color indexed="81"/>
            <rFont val="돋움"/>
            <family val="3"/>
            <charset val="129"/>
          </rPr>
          <t>오후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집중배차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시행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감회
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회충전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감회</t>
        </r>
        <r>
          <rPr>
            <sz val="9"/>
            <color indexed="81"/>
            <rFont val="Tahoma"/>
            <family val="2"/>
          </rPr>
          <t xml:space="preserve"> =&gt; </t>
        </r>
        <r>
          <rPr>
            <sz val="9"/>
            <color indexed="81"/>
            <rFont val="돋움"/>
            <family val="3"/>
            <charset val="129"/>
          </rPr>
          <t>집중배차로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AH29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9" authorId="1" shapeId="0">
      <text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회충전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  <r>
          <rPr>
            <b/>
            <sz val="9"/>
            <color indexed="81"/>
            <rFont val="Tahoma"/>
            <family val="2"/>
          </rPr>
          <t xml:space="preserve"> -1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추가감차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)
2024.6.7 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복귀
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 xml:space="preserve">대
</t>
        </r>
        <r>
          <rPr>
            <sz val="9"/>
            <color indexed="81"/>
            <rFont val="Tahoma"/>
            <family val="2"/>
          </rPr>
          <t xml:space="preserve">2025.3.4 </t>
        </r>
        <r>
          <rPr>
            <sz val="9"/>
            <color indexed="81"/>
            <rFont val="돋움"/>
            <family val="3"/>
            <charset val="129"/>
          </rPr>
          <t>오전</t>
        </r>
        <r>
          <rPr>
            <sz val="9"/>
            <color indexed="81"/>
            <rFont val="Tahoma"/>
            <family val="2"/>
          </rPr>
          <t xml:space="preserve">11, </t>
        </r>
        <r>
          <rPr>
            <sz val="9"/>
            <color indexed="81"/>
            <rFont val="돋움"/>
            <family val="3"/>
            <charset val="129"/>
          </rPr>
          <t>오후</t>
        </r>
        <r>
          <rPr>
            <sz val="9"/>
            <color indexed="81"/>
            <rFont val="Tahoma"/>
            <family val="2"/>
          </rPr>
          <t xml:space="preserve">9 =&gt; </t>
        </r>
        <r>
          <rPr>
            <sz val="9"/>
            <color indexed="81"/>
            <rFont val="돋움"/>
            <family val="3"/>
            <charset val="129"/>
          </rPr>
          <t>오전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오후</t>
        </r>
        <r>
          <rPr>
            <sz val="9"/>
            <color indexed="81"/>
            <rFont val="Tahoma"/>
            <family val="2"/>
          </rPr>
          <t xml:space="preserve"> 10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C30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추가감차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)
2024.6.7 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복귀
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 xml:space="preserve">대
</t>
        </r>
        <r>
          <rPr>
            <sz val="9"/>
            <color indexed="81"/>
            <rFont val="Tahoma"/>
            <family val="2"/>
          </rPr>
          <t xml:space="preserve">2025.3.4 </t>
        </r>
        <r>
          <rPr>
            <sz val="9"/>
            <color indexed="81"/>
            <rFont val="돋움"/>
            <family val="3"/>
            <charset val="129"/>
          </rPr>
          <t>오전</t>
        </r>
        <r>
          <rPr>
            <sz val="9"/>
            <color indexed="81"/>
            <rFont val="Tahoma"/>
            <family val="2"/>
          </rPr>
          <t xml:space="preserve">11, </t>
        </r>
        <r>
          <rPr>
            <sz val="9"/>
            <color indexed="81"/>
            <rFont val="돋움"/>
            <family val="3"/>
            <charset val="129"/>
          </rPr>
          <t>오후</t>
        </r>
        <r>
          <rPr>
            <sz val="9"/>
            <color indexed="81"/>
            <rFont val="Tahoma"/>
            <family val="2"/>
          </rPr>
          <t xml:space="preserve">9 =&gt; </t>
        </r>
        <r>
          <rPr>
            <sz val="9"/>
            <color indexed="81"/>
            <rFont val="돋움"/>
            <family val="3"/>
            <charset val="129"/>
          </rPr>
          <t>오전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오후</t>
        </r>
        <r>
          <rPr>
            <sz val="9"/>
            <color indexed="81"/>
            <rFont val="Tahoma"/>
            <family val="2"/>
          </rPr>
          <t xml:space="preserve"> 10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O31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G31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O32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AG32" authorId="1" shapeId="0">
      <text>
        <r>
          <rPr>
            <b/>
            <sz val="9"/>
            <color indexed="81"/>
            <rFont val="Tahoma"/>
            <family val="2"/>
          </rPr>
          <t>2025.5.13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오후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집중배차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감회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 xml:space="preserve">대
</t>
        </r>
        <r>
          <rPr>
            <sz val="9"/>
            <color indexed="81"/>
            <rFont val="Tahoma"/>
            <family val="2"/>
          </rPr>
          <t xml:space="preserve">2024.5.10 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복귀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  <comment ref="AC33" authorId="0" shapeId="0">
      <text>
        <r>
          <rPr>
            <b/>
            <sz val="9"/>
            <color indexed="81"/>
            <rFont val="Tahoma"/>
            <family val="2"/>
          </rPr>
          <t>ceo: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2</t>
        </r>
        <r>
          <rPr>
            <sz val="9"/>
            <color indexed="81"/>
            <rFont val="돋움"/>
            <family val="3"/>
            <charset val="129"/>
          </rPr>
          <t xml:space="preserve">대
</t>
        </r>
        <r>
          <rPr>
            <sz val="9"/>
            <color indexed="81"/>
            <rFont val="Tahoma"/>
            <family val="2"/>
          </rPr>
          <t xml:space="preserve">2024.5.10 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복귀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오후감차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대</t>
        </r>
      </text>
    </comment>
  </commentList>
</comments>
</file>

<file path=xl/sharedStrings.xml><?xml version="1.0" encoding="utf-8"?>
<sst xmlns="http://schemas.openxmlformats.org/spreadsheetml/2006/main" count="311" uniqueCount="204">
  <si>
    <t>평일</t>
    <phoneticPr fontId="3" type="noConversion"/>
  </si>
  <si>
    <t>휴일</t>
    <phoneticPr fontId="3" type="noConversion"/>
  </si>
  <si>
    <t>신탄진</t>
  </si>
  <si>
    <t>안산동</t>
  </si>
  <si>
    <t>수통골</t>
  </si>
  <si>
    <t>대전역</t>
  </si>
  <si>
    <t>뿌리공원</t>
  </si>
  <si>
    <t>낭월차고지</t>
  </si>
  <si>
    <t>갈마아파트</t>
  </si>
  <si>
    <t>대한통운</t>
  </si>
  <si>
    <t>봉산동</t>
  </si>
  <si>
    <t>원동4</t>
  </si>
  <si>
    <t>노선
번호</t>
    <phoneticPr fontId="3" type="noConversion"/>
  </si>
  <si>
    <t>변경 전</t>
    <phoneticPr fontId="3" type="noConversion"/>
  </si>
  <si>
    <t>비고</t>
    <phoneticPr fontId="3" type="noConversion"/>
  </si>
  <si>
    <t>기점</t>
    <phoneticPr fontId="3" type="noConversion"/>
  </si>
  <si>
    <t>경 유 지</t>
    <phoneticPr fontId="3" type="noConversion"/>
  </si>
  <si>
    <t>종점</t>
    <phoneticPr fontId="3" type="noConversion"/>
  </si>
  <si>
    <t>거리측정</t>
    <phoneticPr fontId="3" type="noConversion"/>
  </si>
  <si>
    <t>배차간격(분)</t>
    <phoneticPr fontId="3" type="noConversion"/>
  </si>
  <si>
    <t>대수</t>
    <phoneticPr fontId="3" type="noConversion"/>
  </si>
  <si>
    <t>대당
횟수</t>
    <phoneticPr fontId="3" type="noConversion"/>
  </si>
  <si>
    <t>회수</t>
    <phoneticPr fontId="3" type="noConversion"/>
  </si>
  <si>
    <t>운행
시간
(편도)</t>
    <phoneticPr fontId="3" type="noConversion"/>
  </si>
  <si>
    <t>기점
~종점</t>
    <phoneticPr fontId="3" type="noConversion"/>
  </si>
  <si>
    <t>종점
~기점</t>
    <phoneticPr fontId="3" type="noConversion"/>
  </si>
  <si>
    <t>왕복</t>
    <phoneticPr fontId="3" type="noConversion"/>
  </si>
  <si>
    <t>평일</t>
    <phoneticPr fontId="3" type="noConversion"/>
  </si>
  <si>
    <t>토요일</t>
    <phoneticPr fontId="3" type="noConversion"/>
  </si>
  <si>
    <t>변경 후</t>
    <phoneticPr fontId="3" type="noConversion"/>
  </si>
  <si>
    <t>운행사</t>
    <phoneticPr fontId="2" type="noConversion"/>
  </si>
  <si>
    <t>원내차고지</t>
    <phoneticPr fontId="3" type="noConversion"/>
  </si>
  <si>
    <t>대전역
(신안동)</t>
    <phoneticPr fontId="3" type="noConversion"/>
  </si>
  <si>
    <t>봉산동</t>
    <phoneticPr fontId="3" type="noConversion"/>
  </si>
  <si>
    <t>대성여고</t>
    <phoneticPr fontId="3" type="noConversion"/>
  </si>
  <si>
    <t>동춘당</t>
    <phoneticPr fontId="3" type="noConversion"/>
  </si>
  <si>
    <t>대운</t>
  </si>
  <si>
    <t>서남부터미널</t>
    <phoneticPr fontId="10" type="noConversion"/>
  </si>
  <si>
    <t>은어송A</t>
    <phoneticPr fontId="10" type="noConversion"/>
  </si>
  <si>
    <t>대전역</t>
    <phoneticPr fontId="10" type="noConversion"/>
  </si>
  <si>
    <t>장태산</t>
    <phoneticPr fontId="10" type="noConversion"/>
  </si>
  <si>
    <t>대전역</t>
    <phoneticPr fontId="3" type="noConversion"/>
  </si>
  <si>
    <t>동학사</t>
    <phoneticPr fontId="3" type="noConversion"/>
  </si>
  <si>
    <t>대승</t>
  </si>
  <si>
    <t>원내
차고지</t>
    <phoneticPr fontId="3" type="noConversion"/>
  </si>
  <si>
    <t>대전IC
(비래검문소)</t>
    <phoneticPr fontId="3" type="noConversion"/>
  </si>
  <si>
    <t>신도안
아파트</t>
    <phoneticPr fontId="3" type="noConversion"/>
  </si>
  <si>
    <t>오월드</t>
    <phoneticPr fontId="3" type="noConversion"/>
  </si>
  <si>
    <t>비래동(위)</t>
    <phoneticPr fontId="3" type="noConversion"/>
  </si>
  <si>
    <t>용두4</t>
    <phoneticPr fontId="3" type="noConversion"/>
  </si>
  <si>
    <t>비래동
(위)</t>
    <phoneticPr fontId="3" type="noConversion"/>
  </si>
  <si>
    <t>서대전역</t>
    <phoneticPr fontId="3" type="noConversion"/>
  </si>
  <si>
    <t>낭월차고지</t>
    <phoneticPr fontId="3" type="noConversion"/>
  </si>
  <si>
    <t>대한통운</t>
    <phoneticPr fontId="3" type="noConversion"/>
  </si>
  <si>
    <t>신대동</t>
    <phoneticPr fontId="10" type="noConversion"/>
  </si>
  <si>
    <t>동신과학고</t>
    <phoneticPr fontId="3" type="noConversion"/>
  </si>
  <si>
    <t>대전역</t>
    <phoneticPr fontId="3" type="noConversion"/>
  </si>
  <si>
    <t>정림동</t>
    <phoneticPr fontId="3" type="noConversion"/>
  </si>
  <si>
    <t>중촌동</t>
    <phoneticPr fontId="3" type="noConversion"/>
  </si>
  <si>
    <t>동인</t>
  </si>
  <si>
    <t>만년동
(만년고)</t>
    <phoneticPr fontId="3" type="noConversion"/>
  </si>
  <si>
    <t>목원대</t>
    <phoneticPr fontId="10" type="noConversion"/>
  </si>
  <si>
    <t>대전대</t>
    <phoneticPr fontId="3" type="noConversion"/>
  </si>
  <si>
    <t>동신과학고</t>
    <phoneticPr fontId="10" type="noConversion"/>
  </si>
  <si>
    <t>충렬사삼거리</t>
    <phoneticPr fontId="10" type="noConversion"/>
  </si>
  <si>
    <t>동신
과학고</t>
    <phoneticPr fontId="10" type="noConversion"/>
  </si>
  <si>
    <t>배재대</t>
    <phoneticPr fontId="3" type="noConversion"/>
  </si>
  <si>
    <t>탑립동</t>
    <phoneticPr fontId="3" type="noConversion"/>
  </si>
  <si>
    <t>대전고</t>
    <phoneticPr fontId="3" type="noConversion"/>
  </si>
  <si>
    <t>보문산</t>
    <phoneticPr fontId="3" type="noConversion"/>
  </si>
  <si>
    <t>대전역
동광장</t>
    <phoneticPr fontId="3" type="noConversion"/>
  </si>
  <si>
    <t>서남부터미널</t>
  </si>
  <si>
    <t>중앙로, 대종로
교통 통제에
따른 우회</t>
    <phoneticPr fontId="3" type="noConversion"/>
  </si>
  <si>
    <t>대전역
동광장</t>
    <phoneticPr fontId="2" type="noConversion"/>
  </si>
  <si>
    <t>경익</t>
    <phoneticPr fontId="3" type="noConversion"/>
  </si>
  <si>
    <t>대전역</t>
    <phoneticPr fontId="3" type="noConversion"/>
  </si>
  <si>
    <t>협진</t>
    <phoneticPr fontId="10" type="noConversion"/>
  </si>
  <si>
    <t>낭월차고지</t>
    <phoneticPr fontId="10" type="noConversion"/>
  </si>
  <si>
    <t>비래동
(아래)</t>
    <phoneticPr fontId="10" type="noConversion"/>
  </si>
  <si>
    <t>대교</t>
    <phoneticPr fontId="3" type="noConversion"/>
  </si>
  <si>
    <t>대버</t>
    <phoneticPr fontId="3" type="noConversion"/>
  </si>
  <si>
    <t>202
(2002)</t>
    <phoneticPr fontId="3" type="noConversion"/>
  </si>
  <si>
    <t>산내동,운전면허시허장입구,대성3,석교동,부사4,,보문산,대고5,중앙로역,
대전여상,보문고,성남4,기아산업,대전보건대학,명석고,송촌동,
청소년수련장,소월아파트,읍내동현대아파트
&lt;막차 대한통운 종점지 미진입&gt;</t>
    <phoneticPr fontId="3" type="noConversion"/>
  </si>
  <si>
    <t>산호</t>
    <phoneticPr fontId="3" type="noConversion"/>
  </si>
  <si>
    <t>동인</t>
    <phoneticPr fontId="3" type="noConversion"/>
  </si>
  <si>
    <t>대전고</t>
    <phoneticPr fontId="3" type="noConversion"/>
  </si>
  <si>
    <t>산성4,대전평생교육원,동물원입구,침산동입구,산서초,정생농협창고,
정생2동,금동,장척동,소호동,토토자연학습원,운전면허시험장,
대성3,가오주공아파트,천동주공아파트,효동4,인동4
(편도: 원동4~대전역~중앙로4~대흥4~원동4)</t>
    <phoneticPr fontId="3" type="noConversion"/>
  </si>
  <si>
    <r>
      <rPr>
        <sz val="9"/>
        <color rgb="FFFF0000"/>
        <rFont val="굴림"/>
        <family val="3"/>
        <charset val="129"/>
      </rPr>
      <t>대전역4,삼성4,대종로4</t>
    </r>
    <r>
      <rPr>
        <sz val="9"/>
        <rFont val="굴림"/>
        <family val="3"/>
        <charset val="129"/>
      </rPr>
      <t>,중촌4,동서로4,용문4,계룡4,대전일보,유성4,유성시외버스터미널,구암3,현충원역,국립현충원앞,박정자3
&lt;막차 대전역 기점지 미진입&gt;</t>
    </r>
    <phoneticPr fontId="3" type="noConversion"/>
  </si>
  <si>
    <r>
      <t>산내주공아파트,대성3,은어송1단지,은어송5단지,가오고교,신흥역,원동4,</t>
    </r>
    <r>
      <rPr>
        <sz val="9"/>
        <color rgb="FFFF0000"/>
        <rFont val="굴림"/>
        <family val="3"/>
        <charset val="129"/>
      </rPr>
      <t>대전역,삼성4,대종로4</t>
    </r>
    <r>
      <rPr>
        <sz val="9"/>
        <rFont val="굴림"/>
        <family val="3"/>
        <charset val="129"/>
      </rPr>
      <t>,중촌아파트,남선공원종합체육관,탄방중,한밭초교,법원/경찰청,이마트,황실타운A
월평주공A,무궁화A,만년동(편도:만년4~만년고~대덕대교4~만년4)</t>
    </r>
    <phoneticPr fontId="3" type="noConversion"/>
  </si>
  <si>
    <r>
      <t>국방과학연구소,외삼,반석역,지족역,유성여고, 노은역, 월드컵4, 죽동3,충남대,유성온천역,대전도시철도공사,대전일보,계룡로4,롯데백화점,용문역,오룡역,서대전네거리역,</t>
    </r>
    <r>
      <rPr>
        <sz val="9"/>
        <color rgb="FFFF0000"/>
        <rFont val="굴림"/>
        <family val="3"/>
        <charset val="129"/>
      </rPr>
      <t>성모병원,
대고5,대흥4,원동4,대전역4</t>
    </r>
    <r>
      <rPr>
        <sz val="9"/>
        <rFont val="굴림"/>
        <family val="3"/>
        <charset val="129"/>
      </rPr>
      <t xml:space="preserve">
(편도: 대전역~동광장~대성여고~성남4 ~삼성4~대전역)</t>
    </r>
    <phoneticPr fontId="3" type="noConversion"/>
  </si>
  <si>
    <r>
      <t xml:space="preserve">한밭대,삼성화재연수원,한밭대입구,현충원역,천양원,방송통신대학,봉명동,대전도시철도공사,대전일보,갈마4,서부소방서,KT연수원,한민시장,가장교,태평5,오룡역,서대전네거리역,
</t>
    </r>
    <r>
      <rPr>
        <sz val="9"/>
        <color rgb="FFFF0000"/>
        <rFont val="굴림"/>
        <family val="3"/>
        <charset val="129"/>
      </rPr>
      <t>성모병원,대고5,대흥4,원동4</t>
    </r>
    <r>
      <rPr>
        <sz val="9"/>
        <rFont val="굴림"/>
        <family val="3"/>
        <charset val="129"/>
      </rPr>
      <t>,대동5,신안동,동중앙로,가양4,
명석고,송촌고,동춘당(선비마을A 회전)</t>
    </r>
    <phoneticPr fontId="3" type="noConversion"/>
  </si>
  <si>
    <r>
      <t xml:space="preserve">구즉동,북대전농협,송강초,그린아파트,한마을아파트,농업기술센터,기흥기계,목상동주민센터,신탄진시장,신탄진역,남경마을,신탄진한일병원,선바위,신대주공아파트,읍내동현대아파트,대전지방국세청,중리동,한국전력공사,복합터미널,성남4,
</t>
    </r>
    <r>
      <rPr>
        <sz val="9"/>
        <color rgb="FFFF0000"/>
        <rFont val="굴림"/>
        <family val="3"/>
        <charset val="129"/>
      </rPr>
      <t>삼성4,대전역4</t>
    </r>
    <r>
      <rPr>
        <sz val="9"/>
        <rFont val="굴림"/>
        <family val="3"/>
        <charset val="129"/>
      </rPr>
      <t xml:space="preserve">
&lt;막차: 봉산동,구즉동 승강장 운행후  차고지복귀, 봉산동기점지 미진입&gt;</t>
    </r>
    <phoneticPr fontId="3" type="noConversion"/>
  </si>
  <si>
    <r>
      <t>대성동,옥계동,호동,석교동,부사5,한밭종합운동장,</t>
    </r>
    <r>
      <rPr>
        <sz val="9"/>
        <color rgb="FFFF0000"/>
        <rFont val="굴림"/>
        <family val="3"/>
        <charset val="129"/>
      </rPr>
      <t>대흥4,
원동4,대전역</t>
    </r>
    <r>
      <rPr>
        <sz val="9"/>
        <rFont val="굴림"/>
        <family val="3"/>
        <charset val="129"/>
      </rPr>
      <t>,성남4,복합터미널,한신휴플러스</t>
    </r>
    <phoneticPr fontId="3" type="noConversion"/>
  </si>
  <si>
    <r>
      <t>운전면허시험장,산내주공아파트,소호동,장척동,금동,정생2동,정생농협창고,침산동입구,침산동,침산동입구,동물원입구,대전평생교육원,산성4,중구보건소,동산중고교,대사4,서대전네거리역,
 기점-&gt;종점 편도: 서대전4,대고5,대흥4,원동4, 대전역동광장
 종점-&gt;기점 편도: 대전역동광장,대동4,</t>
    </r>
    <r>
      <rPr>
        <sz val="9"/>
        <color rgb="FFFF0000"/>
        <rFont val="굴림"/>
        <family val="3"/>
        <charset val="129"/>
      </rPr>
      <t>원동4,대흥동4,대고5,
서대전4</t>
    </r>
    <phoneticPr fontId="3" type="noConversion"/>
  </si>
  <si>
    <r>
      <t>동부4,복합터미널,용전4,성남4,</t>
    </r>
    <r>
      <rPr>
        <sz val="9"/>
        <color rgb="FFFF0000"/>
        <rFont val="굴림"/>
        <family val="3"/>
        <charset val="129"/>
      </rPr>
      <t>삼성4,대종로4,선화공원4,
중구청역</t>
    </r>
    <r>
      <rPr>
        <sz val="9"/>
        <rFont val="굴림"/>
        <family val="3"/>
        <charset val="129"/>
      </rPr>
      <t>,서대전네거리역
(편도:오룡역~오류4~서대전역~서대전역4)</t>
    </r>
    <phoneticPr fontId="3" type="noConversion"/>
  </si>
  <si>
    <r>
      <t>동물원,대전평생교육원,초록마을3단지,산성4,도마교4,문화초교,유천4,서대전네거리역,</t>
    </r>
    <r>
      <rPr>
        <sz val="9"/>
        <color rgb="FFFF0000"/>
        <rFont val="굴림"/>
        <family val="3"/>
        <charset val="129"/>
      </rPr>
      <t>중구청역,선화공원4,대종로4,삼성4</t>
    </r>
    <r>
      <rPr>
        <sz val="9"/>
        <rFont val="굴림"/>
        <family val="3"/>
        <charset val="129"/>
      </rPr>
      <t>,
대덕구청,한남대,중리4
(사정공원 지원구간 폐지)
(편도:선비마을A 회전)</t>
    </r>
    <phoneticPr fontId="3" type="noConversion"/>
  </si>
  <si>
    <r>
      <t>읍내동현대아파트,대전지방국세청,중리시장,영진로얄아파트,오정농수산물시장,오정동주민센터,대덕구청,솔랑마을아파트,한밭자이아파트,</t>
    </r>
    <r>
      <rPr>
        <sz val="9"/>
        <color rgb="FFFF0000"/>
        <rFont val="굴림"/>
        <family val="3"/>
        <charset val="129"/>
      </rPr>
      <t>삼성4,대종로4,선화공원4,</t>
    </r>
    <r>
      <rPr>
        <sz val="9"/>
        <rFont val="굴림"/>
        <family val="3"/>
        <charset val="129"/>
      </rPr>
      <t>서대전네거리역,오룡역,충남여중고,목양마을아파트
(운행방법: 서대전4~동서로4~충남여고~목양마을~어덕마을~동서로4~대전교통~어덕마을대기, 진출은 어덕마을부터 역순)
&lt;막차 대한통운 기점지 미진입&gt;</t>
    </r>
    <phoneticPr fontId="3" type="noConversion"/>
  </si>
  <si>
    <r>
      <t>산내동,운전면허시허장입구,대성3,석교동,부사4,,보문산,</t>
    </r>
    <r>
      <rPr>
        <sz val="9"/>
        <color rgb="FFFF0000"/>
        <rFont val="굴림"/>
        <family val="3"/>
        <charset val="129"/>
      </rPr>
      <t>대고5,중구청4,대종로4</t>
    </r>
    <r>
      <rPr>
        <sz val="9"/>
        <rFont val="굴림"/>
        <family val="3"/>
        <charset val="129"/>
      </rPr>
      <t>,보문고,성남4,기아산업,대전보건대학,명석고,송촌동,청소년수련장,소월아파트,읍내동현대아파트
&lt;막차 대한통운 종점지 미진입&gt;</t>
    </r>
    <phoneticPr fontId="3" type="noConversion"/>
  </si>
  <si>
    <r>
      <t>수자원공사,읍내3,읍내동현대아파트,동부경찰서,보람A,
선비마을,송촌고,가양공원,명석고,대전보건대학,대주파크빌,우송정보대학,</t>
    </r>
    <r>
      <rPr>
        <sz val="9"/>
        <color rgb="FFFF0000"/>
        <rFont val="굴림"/>
        <family val="3"/>
        <charset val="129"/>
      </rPr>
      <t>원동4,대흥4,대고5,서대전네거리역</t>
    </r>
    <r>
      <rPr>
        <sz val="9"/>
        <rFont val="굴림"/>
        <family val="3"/>
        <charset val="129"/>
      </rPr>
      <t>,동산중고교,문화주공3,한밭도서관,대문초교,산성4,사정동,대전평생교육원,동물원
&lt;막차: 오월드 종점지 미진입&gt;</t>
    </r>
    <phoneticPr fontId="3" type="noConversion"/>
  </si>
  <si>
    <r>
      <t>판암역,신흥역,신흥마을,</t>
    </r>
    <r>
      <rPr>
        <sz val="9"/>
        <color rgb="FFFF0000"/>
        <rFont val="굴림"/>
        <family val="3"/>
        <charset val="129"/>
      </rPr>
      <t>원동4,대흥동4,대고5,</t>
    </r>
    <r>
      <rPr>
        <sz val="9"/>
        <rFont val="굴림"/>
        <family val="3"/>
        <charset val="129"/>
      </rPr>
      <t>보문산,테미,충남대병원,동산중고교,충남기계공고,중구보건소,산성4,사정동
 (편도: 농수산물유통센터~한빛고교~뿌리공원진입~다리옆 대기)</t>
    </r>
    <phoneticPr fontId="3" type="noConversion"/>
  </si>
  <si>
    <r>
      <t>중앙시장,원동4,대동5,성남4,삼성4,한밭중4,삼성동성당4,목동4,동서로4,태평5,버드내A,서남부터미널, 유천4,한밭도서관,충남대병원,</t>
    </r>
    <r>
      <rPr>
        <sz val="9"/>
        <color rgb="FFFF0000"/>
        <rFont val="굴림"/>
        <family val="3"/>
        <charset val="129"/>
      </rPr>
      <t>대고5,대흥동4,원동4,대전역4</t>
    </r>
    <r>
      <rPr>
        <sz val="9"/>
        <rFont val="굴림"/>
        <family val="3"/>
        <charset val="129"/>
      </rPr>
      <t xml:space="preserve">
(순환노선) 내선: 시계방향   외선: 시계반대방향
&lt;막차: 동광장 4거리까지 운행후   차고지복귀&gt;</t>
    </r>
    <phoneticPr fontId="10" type="noConversion"/>
  </si>
  <si>
    <r>
      <t>읍내동현대아파트,중리동,용전동주민센터,용전전화국,용전4,성남4,소제동,</t>
    </r>
    <r>
      <rPr>
        <sz val="9"/>
        <color rgb="FFFF0000"/>
        <rFont val="굴림"/>
        <family val="3"/>
        <charset val="129"/>
      </rPr>
      <t>대전역,원동4,대흥동4,대고5</t>
    </r>
    <r>
      <rPr>
        <sz val="9"/>
        <rFont val="굴림"/>
        <family val="3"/>
        <charset val="129"/>
      </rPr>
      <t>,테미도서관,충남대학교병원,동산중고교,산성우성아파트,도마교,신원상가,정림삼거리,정림중학교
&lt;막차 대한통운 기점지 미진입&gt;</t>
    </r>
    <phoneticPr fontId="3" type="noConversion"/>
  </si>
  <si>
    <r>
      <t>옥녀봉3,도솔터널,안골4,서대전여고,괴정4,가장4,태평5,태평주공A,호스돈여고,</t>
    </r>
    <r>
      <rPr>
        <sz val="9"/>
        <color rgb="FFFF0000"/>
        <rFont val="굴림"/>
        <family val="3"/>
        <charset val="129"/>
      </rPr>
      <t>중구청4,대고5,대흥동4,원동4</t>
    </r>
    <r>
      <rPr>
        <sz val="9"/>
        <rFont val="굴림"/>
        <family val="3"/>
        <charset val="129"/>
      </rPr>
      <t>,대동5,신흥초,용방마을,대전대,판암주민센터,판암역,용운도서관</t>
    </r>
    <phoneticPr fontId="3" type="noConversion"/>
  </si>
  <si>
    <r>
      <t xml:space="preserve">판암역,신흥역,효동주민센터,부사4,충무체육관,오토바이거리,
</t>
    </r>
    <r>
      <rPr>
        <sz val="9"/>
        <color rgb="FFFF0000"/>
        <rFont val="굴림"/>
        <family val="3"/>
        <charset val="129"/>
      </rPr>
      <t>대흥동4,대고5,중구청4,대종로4</t>
    </r>
    <r>
      <rPr>
        <sz val="9"/>
        <rFont val="굴림"/>
        <family val="3"/>
        <charset val="129"/>
      </rPr>
      <t>,중촌4,대성고,오룡역,용문치안센터,용문4,탄방4,큰마을아파트,은하수4,이마트,둔산경찰서,정부대전청사,서구보건소,국립중앙과학관,구성3,한국과학기술원,한국항공우주연구원,다름고개3,대덕대학교
(편도:자운근린공원/ 종점에서 기점방향 운행시)
&lt;막차 충렬사삼거리 미진입&gt;</t>
    </r>
    <phoneticPr fontId="3" type="noConversion"/>
  </si>
  <si>
    <r>
      <t>판암IC,판암4,판암주공4,신흥역,치수교,효동4,</t>
    </r>
    <r>
      <rPr>
        <sz val="9"/>
        <color rgb="FFFF0000"/>
        <rFont val="굴림"/>
        <family val="3"/>
        <charset val="129"/>
      </rPr>
      <t>원동4,대흥4</t>
    </r>
    <r>
      <rPr>
        <sz val="9"/>
        <rFont val="굴림"/>
        <family val="3"/>
        <charset val="129"/>
      </rPr>
      <t>,
대고5,성모병원,서대전4,서대전역,태평4,유등마을A,태평5,변동시장,변동5,안골4,서대전여고(배재대 교내종점지 변경 2014.12.05)</t>
    </r>
    <phoneticPr fontId="3" type="noConversion"/>
  </si>
  <si>
    <r>
      <t xml:space="preserve">테크노밸리,크라운제과,대덕경찰서,덕암동,새일초교,산막3,
와동,대한통운,중리4,동부4,고속터미널,용전4,성남4,동광장,
</t>
    </r>
    <r>
      <rPr>
        <sz val="9"/>
        <color rgb="FFFF0000"/>
        <rFont val="굴림"/>
        <family val="3"/>
        <charset val="129"/>
      </rPr>
      <t>대전역,원동4,대흥동4,오토바이거리,대전중학교</t>
    </r>
    <r>
      <rPr>
        <sz val="9"/>
        <rFont val="굴림"/>
        <family val="3"/>
        <charset val="129"/>
      </rPr>
      <t xml:space="preserve">
 * 편도: </t>
    </r>
    <r>
      <rPr>
        <sz val="9"/>
        <color rgb="FFFF0000"/>
        <rFont val="굴림"/>
        <family val="3"/>
        <charset val="129"/>
      </rPr>
      <t>대흥동4,오토바이거리,대전중학교,대고5</t>
    </r>
    <r>
      <rPr>
        <sz val="9"/>
        <rFont val="굴림"/>
        <family val="3"/>
        <charset val="129"/>
      </rPr>
      <t xml:space="preserve">
탑립동 진출입시 신길운행 
&lt;막차 탑립동 기점지 미진입&gt;
</t>
    </r>
    <phoneticPr fontId="3" type="noConversion"/>
  </si>
  <si>
    <r>
      <t>엑슬루타워A, 한전,석봉초,담배인삼공사,선바위,와동현대아파트,대한통운,읍내동현대아파트,안산도서관,중리동,동대전고,
한남대,대덕구청,한밭자이아파트,삼성4,</t>
    </r>
    <r>
      <rPr>
        <sz val="9"/>
        <color rgb="FFFF0000"/>
        <rFont val="굴림"/>
        <family val="3"/>
        <charset val="129"/>
      </rPr>
      <t>대전역,원동4</t>
    </r>
    <r>
      <rPr>
        <sz val="9"/>
        <rFont val="굴림"/>
        <family val="3"/>
        <charset val="129"/>
      </rPr>
      <t xml:space="preserve">,대동5,
동광장
&lt;신탄진기점지 진출시만 엑슬루타워경유&gt;
&lt;막차 신탄진 기점지,대전역종점지 미진입&gt;
</t>
    </r>
    <phoneticPr fontId="3" type="noConversion"/>
  </si>
  <si>
    <r>
      <t>북대전농협,그린아파트,롯데마트,동화중학교,탑립육교,수자원공사,전민중학교,엑스포아파트,문지3,원촌3,읍내4,1,2산단입구,대전병원,중리4,용전4,고속버스터미널,동부4,가양4,성남4,
삼성4,</t>
    </r>
    <r>
      <rPr>
        <sz val="9"/>
        <color rgb="FFFF0000"/>
        <rFont val="굴림"/>
        <family val="3"/>
        <charset val="129"/>
      </rPr>
      <t>대전역,원동4</t>
    </r>
    <r>
      <rPr>
        <sz val="9"/>
        <rFont val="굴림"/>
        <family val="3"/>
        <charset val="129"/>
      </rPr>
      <t>,인동4,충무4,보문5
&lt;막차 : 봉산동 기점지 미진입&gt;</t>
    </r>
    <phoneticPr fontId="3" type="noConversion"/>
  </si>
  <si>
    <r>
      <t xml:space="preserve">산성4,대전평생교육원,동물원입구,침산동입구,산서초,정생농협창고,정생2동,금동,장척동,소호동,토토자연학습원,운전면허시험장,대성3,가오주공아파트,천동주공아파트,효동4,인동4,
</t>
    </r>
    <r>
      <rPr>
        <sz val="9"/>
        <color rgb="FFFF0000"/>
        <rFont val="굴림"/>
        <family val="3"/>
        <charset val="129"/>
      </rPr>
      <t>원동4,대전역4</t>
    </r>
    <phoneticPr fontId="3" type="noConversion"/>
  </si>
  <si>
    <t>종점</t>
    <phoneticPr fontId="3" type="noConversion"/>
  </si>
  <si>
    <t>거리측정</t>
    <phoneticPr fontId="3" type="noConversion"/>
  </si>
  <si>
    <t>배차간격(분)</t>
    <phoneticPr fontId="3" type="noConversion"/>
  </si>
  <si>
    <t>대당
횟수</t>
    <phoneticPr fontId="3" type="noConversion"/>
  </si>
  <si>
    <t>운행
시간
(편도)</t>
    <phoneticPr fontId="3" type="noConversion"/>
  </si>
  <si>
    <t>대수</t>
    <phoneticPr fontId="2" type="noConversion"/>
  </si>
  <si>
    <t>회수</t>
    <phoneticPr fontId="2" type="noConversion"/>
  </si>
  <si>
    <t>운행사</t>
    <phoneticPr fontId="2" type="noConversion"/>
  </si>
  <si>
    <t>기점
~종점</t>
    <phoneticPr fontId="3" type="noConversion"/>
  </si>
  <si>
    <t>종점
~기점</t>
    <phoneticPr fontId="3" type="noConversion"/>
  </si>
  <si>
    <t>왕복</t>
    <phoneticPr fontId="3" type="noConversion"/>
  </si>
  <si>
    <t>평일</t>
    <phoneticPr fontId="3" type="noConversion"/>
  </si>
  <si>
    <t>휴일</t>
    <phoneticPr fontId="3" type="noConversion"/>
  </si>
  <si>
    <t>토요일</t>
    <phoneticPr fontId="3" type="noConversion"/>
  </si>
  <si>
    <t>노선조정 신청내역서(2025.08.06.~08.17 한시적) 0시축제 우회관련</t>
    <phoneticPr fontId="3" type="noConversion"/>
  </si>
  <si>
    <t>원내차고지</t>
    <phoneticPr fontId="3" type="noConversion"/>
  </si>
  <si>
    <t>대전역
(신안동)</t>
    <phoneticPr fontId="3" type="noConversion"/>
  </si>
  <si>
    <t>구즉동,북대전농협,송강초,그린아파트,한마을아파트,농업기술센터,기흥기계,목상동주민센터,신탄진시장,신탄진역,남경마을,신탄진한일병원,선바위,신대주공아파트,읍내동현대아파트,대전지방국세청,중리동,한국전력공사,복합터미널,성남4,삼성4,대종로4,중앙로4
&lt;막차: 봉산동,구즉동 승강장 운행후  차고지복귀, 봉산동기점지 미진입&gt;</t>
    <phoneticPr fontId="3" type="noConversion"/>
  </si>
  <si>
    <t>낭월차고지</t>
    <phoneticPr fontId="10" type="noConversion"/>
  </si>
  <si>
    <t>대성동,옥계동,호동,석교동,부사5,한밭종합운동장,대흥4,중앙로4,대전역,성남4,복합터미널,한신휴플러스</t>
    <phoneticPr fontId="3" type="noConversion"/>
  </si>
  <si>
    <t>비래동
(아래)</t>
    <phoneticPr fontId="10" type="noConversion"/>
  </si>
  <si>
    <t>산호</t>
    <phoneticPr fontId="10" type="noConversion"/>
  </si>
  <si>
    <t>국방과학연구소,외삼,반석역,지족역,유성여고, 노은역, 월드컵4, 죽동3,
충남대,유성온천역,대전도시철도공사,대전일보,계룡로4,롯데백화점,
용문역,오룡역,서대전네거리역,중구청역,중앙로역,대전역
(편도: 대전역~동광장~대성여고~성남4 ~삼성4~대전역)</t>
    <phoneticPr fontId="3" type="noConversion"/>
  </si>
  <si>
    <t>대성여고</t>
    <phoneticPr fontId="3" type="noConversion"/>
  </si>
  <si>
    <t>국민6
금남4</t>
    <phoneticPr fontId="3" type="noConversion"/>
  </si>
  <si>
    <t>동춘당</t>
    <phoneticPr fontId="3" type="noConversion"/>
  </si>
  <si>
    <t>서남부터미널</t>
    <phoneticPr fontId="10" type="noConversion"/>
  </si>
  <si>
    <t>은어송A</t>
    <phoneticPr fontId="10" type="noConversion"/>
  </si>
  <si>
    <t>대교</t>
    <phoneticPr fontId="3" type="noConversion"/>
  </si>
  <si>
    <t>대전역</t>
    <phoneticPr fontId="10" type="noConversion"/>
  </si>
  <si>
    <t>장태산</t>
    <phoneticPr fontId="10" type="noConversion"/>
  </si>
  <si>
    <t>운전면허시험장,산내주공아파트,소호동,장척동,금동,정생2동,
정생농협창고,침산동입구,침산동,침산동입구,동물원입구,
대전평생교육원,산성4,중구보건소,동산중고교,대사4,서대전네거리역,
 기점-&gt;종점 편도: 서대전4,대고5,대흥4,원동4, 대전역동광장
 종점-&gt;기점 편도: 대전역동광장,대동4,원동4,대전역4,중앙로4,서대전4</t>
    <phoneticPr fontId="3" type="noConversion"/>
  </si>
  <si>
    <t>대전역
동광장</t>
    <phoneticPr fontId="3" type="noConversion"/>
  </si>
  <si>
    <t>중앙로4,중촌4,동서로4,용문4,계룡4,대전일보,유성4,유성시외버스터미널,
구암3,현충원역,국립현충원앞,박정자3
&lt;막차 대전역 기점지 미진입&gt;</t>
    <phoneticPr fontId="3" type="noConversion"/>
  </si>
  <si>
    <t>동학사</t>
    <phoneticPr fontId="3" type="noConversion"/>
  </si>
  <si>
    <t>대전IC
(비래검문소)</t>
    <phoneticPr fontId="3" type="noConversion"/>
  </si>
  <si>
    <t>대교</t>
    <phoneticPr fontId="3" type="noConversion"/>
  </si>
  <si>
    <t>신도안
아파트</t>
    <phoneticPr fontId="3" type="noConversion"/>
  </si>
  <si>
    <t>계룡</t>
    <phoneticPr fontId="3" type="noConversion"/>
  </si>
  <si>
    <t>비래동
(위)</t>
    <phoneticPr fontId="3" type="noConversion"/>
  </si>
  <si>
    <t>동부4,복합터미널,용전4,성남4,삼성4,대전역,중앙로역,중구청역,
서대전네거리역
(편도:오룡역~오류4~서대전역~서대전역4)</t>
    <phoneticPr fontId="3" type="noConversion"/>
  </si>
  <si>
    <t>서대전역</t>
    <phoneticPr fontId="3" type="noConversion"/>
  </si>
  <si>
    <t>금남</t>
    <phoneticPr fontId="3" type="noConversion"/>
  </si>
  <si>
    <t>오월드</t>
    <phoneticPr fontId="3" type="noConversion"/>
  </si>
  <si>
    <t>동물원,대전평생교육원,초록마을3단지,산성4,도마교4,문화초교,유천4,
서대전네거리역,중구청역,중앙로역,대전역,삼성4,대덕구청,한남대,중리4
(사정공원 지원구간 폐지)
(편도:선비마을A 회전)</t>
    <phoneticPr fontId="3" type="noConversion"/>
  </si>
  <si>
    <t>대버</t>
    <phoneticPr fontId="3" type="noConversion"/>
  </si>
  <si>
    <t>읍내동현대아파트,대전지방국세청,중리시장,영진로얄아파트,
오정농수산물시장,오정동주민센터,대덕구청,솔랑마을아파트,
한밭자이아파트,삼성4,대전역,중앙로역,서대전네거리역,오룡역,
충남여중고,목양마을아파트
(운행방법: 서대전4~동서로4~충남여고~목양마을~어덕마을~동서로4~
               대전교통~어덕마을대기, 진출은 어덕마을부터 역순)
&lt;막차 대한통운 기점지 미진입&gt;</t>
    <phoneticPr fontId="3" type="noConversion"/>
  </si>
  <si>
    <t>산호</t>
    <phoneticPr fontId="3" type="noConversion"/>
  </si>
  <si>
    <t>신대동</t>
    <phoneticPr fontId="10" type="noConversion"/>
  </si>
  <si>
    <t xml:space="preserve">수자원공사,읍내3,읍내동현대아파트,동부경찰서,보람A,
선비마을,송촌고,가양공원,명석고,대전보건대학,대주파크빌,우송정보대학,
대전역,중앙로역,성모병원,서대전네거리역,동산중고교,문화주공3,
한밭도서관,대문초교,산성4,사정동,대전평생교육원,동물원
&lt;막차: 오월드 종점지 미진입&gt; </t>
    <phoneticPr fontId="3" type="noConversion"/>
  </si>
  <si>
    <t>오월드</t>
    <phoneticPr fontId="3" type="noConversion"/>
  </si>
  <si>
    <t>동신과학고</t>
    <phoneticPr fontId="3" type="noConversion"/>
  </si>
  <si>
    <t>판암역,신흥역,신흥마을,원동4,대전역,중앙로역,중구청,보문산,테미,
충남대병원,동산중고교,충남기계공고,중구보건소,산성4,사정동
 (편도: 농수산물유통센터~한빛고교~뿌리공원진입~다리옆 대기)</t>
    <phoneticPr fontId="3" type="noConversion"/>
  </si>
  <si>
    <t>산호</t>
    <phoneticPr fontId="3" type="noConversion"/>
  </si>
  <si>
    <t>대전역</t>
    <phoneticPr fontId="3" type="noConversion"/>
  </si>
  <si>
    <t>중앙시장,원동4,대동5,성남4,삼성4,한밭중4,삼성동성당4,목동4,동서로4,태평5,
버드내A,서남부터미널, 유천4,한밭도서관,충남대병원,대고5,중구청,중앙로4
(순환노선) 내선: 시계방향   외선: 시계반대방향
&lt;막차: 동광장 4거리까지 운행후   차고지복귀&gt;</t>
    <phoneticPr fontId="10" type="noConversion"/>
  </si>
  <si>
    <t>정림동</t>
    <phoneticPr fontId="3" type="noConversion"/>
  </si>
  <si>
    <t>대승</t>
    <phoneticPr fontId="3" type="noConversion"/>
  </si>
  <si>
    <t>산내주공아파트,운전면허시험장,대성3,은어송마을입구,천동주공아파트,
효동4,인동4,원동4,중앙로역,대전세무서,적십자,선병원
(편도 운행변경)
 기점→종점운행시
    - 6대: 중촌주공A지역운행    - 6대: 중촌하늘A지역운행
 종점→기점운행시 
    - 전차량: 중촌하늘A지역운행  &lt;2009.12.01&gt;</t>
    <phoneticPr fontId="3" type="noConversion"/>
  </si>
  <si>
    <t>중촌동</t>
    <phoneticPr fontId="3" type="noConversion"/>
  </si>
  <si>
    <t>산내주공아파트,대성3,은어송1단지,은어송5단지,가오고교,신흥역,
원동4,대전역,중앙로역,대전여상,선화동천주교회,중촌아파트,
남선공원종합체육관,탄방중,한밭초교,법원/경찰청,이마트,황실타운A
월평주공A,무궁화A,만년동(편도:만년4~만년고~대덕대교4~만년4)</t>
    <phoneticPr fontId="3" type="noConversion"/>
  </si>
  <si>
    <t>만년동
(만년고)</t>
    <phoneticPr fontId="3" type="noConversion"/>
  </si>
  <si>
    <t>목원대</t>
    <phoneticPr fontId="10" type="noConversion"/>
  </si>
  <si>
    <t>옥녀봉3,도솔터널,안골4,서대전여고,괴정4,가장4,태평5,태평주공A,
호스돈여고,중앙로역,대전역,원동4,대동5,신흥초,용방마을,대전대,
판암주민센터,판암역,용운도서관</t>
    <phoneticPr fontId="3" type="noConversion"/>
  </si>
  <si>
    <t>대전대</t>
    <phoneticPr fontId="3" type="noConversion"/>
  </si>
  <si>
    <t>동신과학고</t>
    <phoneticPr fontId="10" type="noConversion"/>
  </si>
  <si>
    <t>판암역,신흥역,효동주민센터,부사4,충무체육관,오토바이거리,대전여상,
중촌4,대성고,오룡역,용문치안센터,용문4,탄방4,큰마을아파트,은하수4,
이마트,둔산경찰서,정부대전청사,서구보건소,국립중앙과학관,구성3,
한국과학기술원,한국항공우주연구원,다름고개3,대덕대학교
(편도:자운근린공원/ 종점에서 기점방향 운행시)
&lt;막차 충렬사삼거리 미진입&gt;</t>
    <phoneticPr fontId="3" type="noConversion"/>
  </si>
  <si>
    <t>충렬사삼거리</t>
    <phoneticPr fontId="10" type="noConversion"/>
  </si>
  <si>
    <t>동신
과학고</t>
    <phoneticPr fontId="10" type="noConversion"/>
  </si>
  <si>
    <t>판암IC,판암4,판암주공4,신흥역,치수교,효동4,원동4,대전역,중앙로4,대흥4
대고5,성모병원,서대전4,서대전역,태평4,유등마을A,태평5,변동시장,
변동5,안골4,서대전여고(배재대 교내종점지 변경 2014.12.05)</t>
    <phoneticPr fontId="3" type="noConversion"/>
  </si>
  <si>
    <t>배재대</t>
    <phoneticPr fontId="3" type="noConversion"/>
  </si>
  <si>
    <t>대운</t>
    <phoneticPr fontId="3" type="noConversion"/>
  </si>
  <si>
    <t>탑립동</t>
    <phoneticPr fontId="3" type="noConversion"/>
  </si>
  <si>
    <t>테크노밸리,크라운제과,대덕경찰서,덕암동,새일초교,산막3,와동,대한통운,
중리4,동부4,고속터미널,용전4,성남4,동광장,대전역,중앙로4
 * 편도: 중앙로4~중구청~대고5~대흥4~중앙로4
탑립동 진출입시 신길운행 
&lt;막차 탑립동 기점지 미진입&gt;</t>
    <phoneticPr fontId="3" type="noConversion"/>
  </si>
  <si>
    <t>동건</t>
    <phoneticPr fontId="3" type="noConversion"/>
  </si>
  <si>
    <t>엑슬루타워A, 한전,석봉초,담배인삼공사,선바위,와동현대아파트,대한통운,
읍내동현대아파트,안산도서관,중리동,동대전고,한남대,대덕구청,
한밭자이아파트,삼성4,대전역,중앙로4,대흥4,원동4,대동5,동광장
&lt;신탄진기점지 진출시만 엑슬루타워경유&gt;
&lt;막차 신탄진 기점지,대전역종점지 미진입&gt;</t>
    <phoneticPr fontId="3" type="noConversion"/>
  </si>
  <si>
    <t>동건</t>
    <phoneticPr fontId="3" type="noConversion"/>
  </si>
  <si>
    <t>북대전농협,그린아파트,롯데마트,동화중학교,탑립육교,수자원공사,
전민중학교,엑스포아파트,문지3,원촌3,읍내4,1,2산단입구,대전병원,
중리4,용전4,고속버스터미널,동부4,가양4,성남4,삼성4,대전역,중앙로4,
대흥4,원동4,인동4,충무4,보문5
&lt;막차 : 봉산동 기점지 미진입&gt;</t>
    <phoneticPr fontId="3" type="noConversion"/>
  </si>
  <si>
    <t>보문산</t>
    <phoneticPr fontId="3" type="noConversion"/>
  </si>
  <si>
    <t>경익6
한일2</t>
    <phoneticPr fontId="3" type="noConversion"/>
  </si>
  <si>
    <r>
      <t>진잠중,진잠동주민센터,원내동,샘물타운아파트, 구봉마을5단지,건양대병원4,가수원육교,정림3,신원상가,도마시장,버드내아파트,유천시장,서대전4,충남지방병무청,</t>
    </r>
    <r>
      <rPr>
        <sz val="9"/>
        <color rgb="FFFF0000"/>
        <rFont val="굴림"/>
        <family val="3"/>
        <charset val="129"/>
      </rPr>
      <t>성모병원,대고5,
대흥4,원동4,대전역4</t>
    </r>
    <r>
      <rPr>
        <sz val="9"/>
        <rFont val="굴림"/>
        <family val="3"/>
        <charset val="129"/>
      </rPr>
      <t xml:space="preserve">
(편도:대전역~동서교~대동역~원동4~</t>
    </r>
    <r>
      <rPr>
        <sz val="9"/>
        <color rgb="FFFF0000"/>
        <rFont val="굴림"/>
        <family val="3"/>
        <charset val="129"/>
      </rPr>
      <t>대흥4</t>
    </r>
    <r>
      <rPr>
        <sz val="9"/>
        <rFont val="굴림"/>
        <family val="3"/>
        <charset val="129"/>
      </rPr>
      <t xml:space="preserve">)
</t>
    </r>
    <r>
      <rPr>
        <sz val="9"/>
        <color rgb="FFFF0000"/>
        <rFont val="굴림"/>
        <family val="3"/>
        <charset val="129"/>
      </rPr>
      <t>(유등교 가설교량 왕복 운행)</t>
    </r>
    <phoneticPr fontId="3" type="noConversion"/>
  </si>
  <si>
    <r>
      <t xml:space="preserve">도마시장,도마4,도마교,파라곤A,버드내A,유천4,서대전4,
</t>
    </r>
    <r>
      <rPr>
        <sz val="9"/>
        <color rgb="FFFF0000"/>
        <rFont val="굴림"/>
        <family val="3"/>
        <charset val="129"/>
      </rPr>
      <t>성모병원,대고5,대흥4,원동4</t>
    </r>
    <r>
      <rPr>
        <sz val="9"/>
        <rFont val="굴림"/>
        <family val="3"/>
        <charset val="129"/>
      </rPr>
      <t xml:space="preserve">,대동5,우송대,대전대서문,
대전대동문,용운수영장,판암역,동구청,은어송4
&lt;편도운행: 유등교~도마4~도마교4~서대전4~유등교
                용운동꿈에그린A(종점방향시)
                용수골(서남부터미널 방향시)
                은어송A 종점회전시 &gt;
&lt;편도운행: 우송대동캠퍼스~용운고층A~꿈에그린A&gt;
</t>
    </r>
    <r>
      <rPr>
        <sz val="9"/>
        <color rgb="FFFF0000"/>
        <rFont val="굴림"/>
        <family val="3"/>
        <charset val="129"/>
      </rPr>
      <t>태평교우회:(종점방향)서남부터미널=&gt;버드내아파트=&gt;파라곤A</t>
    </r>
    <phoneticPr fontId="3" type="noConversion"/>
  </si>
  <si>
    <r>
      <t>대동5,</t>
    </r>
    <r>
      <rPr>
        <sz val="9"/>
        <color rgb="FFFF0000"/>
        <rFont val="굴림"/>
        <family val="3"/>
        <charset val="129"/>
      </rPr>
      <t>원동4,대흥4,대고5,성모병원</t>
    </r>
    <r>
      <rPr>
        <sz val="9"/>
        <rFont val="굴림"/>
        <family val="3"/>
        <charset val="129"/>
      </rPr>
      <t xml:space="preserve">,서대전4,서대전역4,유천4,도마4,정림4,가수원4,가수원중,벌말,상보안,사진개,흑석4,기성중,밤갈미,용바위,장태산휴양림,장안동
</t>
    </r>
    <r>
      <rPr>
        <sz val="9"/>
        <color rgb="FFFF0000"/>
        <rFont val="굴림"/>
        <family val="3"/>
        <charset val="129"/>
      </rPr>
      <t>(유등교 가설교량 왕복 운행)</t>
    </r>
    <phoneticPr fontId="10" type="noConversion"/>
  </si>
  <si>
    <r>
      <t>진잠주민센터,구봉마을,건양대병원4,건양대병원,가수원육교,정림동,정림동고개,도마4,버드내아파트,유천시장,서대전역,서대전네거리역,</t>
    </r>
    <r>
      <rPr>
        <sz val="9"/>
        <color rgb="FFFF0000"/>
        <rFont val="굴림"/>
        <family val="3"/>
        <charset val="129"/>
      </rPr>
      <t>중구청역,선화공원4,대종로4,삼성4</t>
    </r>
    <r>
      <rPr>
        <sz val="9"/>
        <rFont val="굴림"/>
        <family val="3"/>
        <charset val="129"/>
      </rPr>
      <t xml:space="preserve">,성남4,용전4,고속터미널,한신휴플러스
(종점지 변경: 비래동 기점지 미경유, 신로얄예식장 지역 회전 후 비래검문소 승강장 대기)
&lt;막차 원내기점지 미진입&gt;
</t>
    </r>
    <r>
      <rPr>
        <sz val="9"/>
        <color rgb="FFFF0000"/>
        <rFont val="굴림"/>
        <family val="3"/>
        <charset val="129"/>
      </rPr>
      <t>(유등교 가설교량 왕복 운행)</t>
    </r>
    <phoneticPr fontId="3" type="noConversion"/>
  </si>
  <si>
    <r>
      <t>동광장,성남4,</t>
    </r>
    <r>
      <rPr>
        <sz val="9"/>
        <color rgb="FFFF0000"/>
        <rFont val="굴림"/>
        <family val="3"/>
        <charset val="129"/>
      </rPr>
      <t>삼성4,대종로4,선화공원4,중구청</t>
    </r>
    <r>
      <rPr>
        <sz val="9"/>
        <rFont val="굴림"/>
        <family val="3"/>
        <charset val="129"/>
      </rPr>
      <t xml:space="preserve">,서대전네거리,서대전역,버드내아파트,도마4,정림동,가수원4,롯데마트,방동저수지,두계면사무소,계룡역,홈플러스계룡점,대실지구,계룡시청,계룡보건소,엄사지구입구
&lt;막차: 동광장 4거리까지 운행후 복귀&gt;
&lt;8대(2002번 고급좌석) 계룡업체가 운행&gt;
</t>
    </r>
    <r>
      <rPr>
        <sz val="9"/>
        <color rgb="FFFF0000"/>
        <rFont val="굴림"/>
        <family val="3"/>
        <charset val="129"/>
      </rPr>
      <t>(유등교 가설교량 왕복 운행)</t>
    </r>
    <phoneticPr fontId="3" type="noConversion"/>
  </si>
  <si>
    <r>
      <t>가양공원,명석고교,기아산업,성남4,</t>
    </r>
    <r>
      <rPr>
        <sz val="9"/>
        <color rgb="FFFF0000"/>
        <rFont val="굴림"/>
        <family val="3"/>
        <charset val="129"/>
      </rPr>
      <t>삼성4,대종로4,선화공원4</t>
    </r>
    <r>
      <rPr>
        <sz val="9"/>
        <rFont val="굴림"/>
        <family val="3"/>
        <charset val="129"/>
      </rPr>
      <t xml:space="preserve">,서대전역,유천시장,도마시장,신원상가,도마중,내동고개,내동4
(편도: 갈마동 회전, 안골4~코오롱~롯데~갈마~안골4)
</t>
    </r>
    <r>
      <rPr>
        <sz val="9"/>
        <color rgb="FFFF0000"/>
        <rFont val="굴림"/>
        <family val="3"/>
        <charset val="129"/>
      </rPr>
      <t>(유등교 가설교량 왕복 운행)</t>
    </r>
    <phoneticPr fontId="3" type="noConversion"/>
  </si>
  <si>
    <r>
      <t>산내주공아파트,운전면허시험장,대성3,은어송마을입구,천동주공아파트,효동4,인동4,</t>
    </r>
    <r>
      <rPr>
        <sz val="9"/>
        <color rgb="FFFF0000"/>
        <rFont val="굴림"/>
        <family val="3"/>
        <charset val="129"/>
      </rPr>
      <t>원동4,대흥동4,대고5,중구청4</t>
    </r>
    <r>
      <rPr>
        <sz val="9"/>
        <rFont val="굴림"/>
        <family val="3"/>
        <charset val="129"/>
      </rPr>
      <t>,대전세무서,적십자,선병원
(편도 운행변경)
 기점→종점운행시
    - 6대: 중촌주공A지역운행    - 6대: 중촌하늘A지역운행
 종점→기점운행시 
    - 전차량: 중촌하늘A지역운행  &lt;2009.12.01&gt;</t>
    </r>
    <phoneticPr fontId="3" type="noConversion"/>
  </si>
  <si>
    <t>진잠중,진잠동주민센터,원내동,샘물타운아파트, 구봉마을5단지,
건양대병원4,가수원육교,정림3,신원상가,도마시장,버드내아파트,
유천시장,서대전4,충남지방병무청,중구청,중앙로4,대전역
(편도:대전역~동서교~대동역~원동4~대전역)
(유등교 가설교량 왕복 운행)</t>
    <phoneticPr fontId="3" type="noConversion"/>
  </si>
  <si>
    <t>한밭대,삼성화재연수원,한밭대입구,현충원역,천양원,방송통신대학,봉명동,
대전도시철도공사,대전일보,갈마4,서부소방서,KT연수원,한민시장,
가장교,태평5,오룡역,서대전네거리역,중앙로역,대전역,원동4,대동5,
신안동,동중앙로,가양4,명석고,송촌고,동춘당(선비마을A 회전)</t>
    <phoneticPr fontId="3" type="noConversion"/>
  </si>
  <si>
    <t>도마시장,도마4,도마교,파라곤A,버드내A,유천4,서대전4,중구청,대전역4,
원동4,대동4,우송대,대전대서문,대전대동문,용운수영장,판암역,동구청,은어송4
&lt;편도운행: 유등교~도마4~도마교4~서대전4~유등교
                용운동꿈에그린A(종점방향시)
                용수골(서남부터미널 방향시)
                은어송A 종점회전시 &gt;
&lt;편도운행: 우송대동캠퍼스~용운고층A~꿈에그린A&gt;
태평교우회:(종점방향)서남부터미널=&gt;버드내아파트=&gt;파라곤A</t>
    <phoneticPr fontId="3" type="noConversion"/>
  </si>
  <si>
    <t>대동5,원동4,대전역,중앙로역4,중구청,서대전4,서대전역4,유천4,
도마4,정림4,가수원4,가수원중,벌말,상보안,사진개,흑석4,기성중,
밤갈미,용바위,장태산휴양림,장안동
(유등교 가설교량 왕복 운행)</t>
    <phoneticPr fontId="10" type="noConversion"/>
  </si>
  <si>
    <t>진잠주민센터,구봉마을,건양대병원4,건양대병원,가수원육교,정림동,
정림동고개,도마4,버드내아파트,유천시장,서대전역,서대전네거리역,
중구청역,중앙로역,삼성4,성남4,용전4,고속터미널,한신휴플러스
(종점지 변경: 비래동 기점지 미경유, 신로얄예식장 지역 회전 후
                    비래검문소 승강장 대기)
&lt;막차 원내기점지 미진입&gt;
(유등교 가설교량 왕복 운행)</t>
    <phoneticPr fontId="3" type="noConversion"/>
  </si>
  <si>
    <t>동광장,성남4,삼성4,대전역,중앙로,중구청,서대전네거리,서대전역,
버드내아파트,도마4,정림동,가수원4,롯데마트,방동저수지,두계면사무소,계룡역,
홈플러스계룡점,대실지구,계룡시청,계룡보건소,엄사지구입구
&lt;막차: 동광장 4거리까지 운행후 복귀&gt;
&lt;8대(2002번 고급좌석) 계룡업체가 운행&gt;
(유등교 가설교량 왕복 운행)</t>
    <phoneticPr fontId="3" type="noConversion"/>
  </si>
  <si>
    <t>가양공원,명석고교,기아산업,성남4,삼성4,대전역,중앙로역,
서대전역,유천시장,도마시장,신원상가,도마중,내동고개,내동4
(편도: 갈마동 회전, 안골4~코오롱~롯데~갈마~안골4)
(유등교 가설교량 왕복 운행)</t>
    <phoneticPr fontId="3" type="noConversion"/>
  </si>
  <si>
    <t>읍내동현대아파트,중리동,용전동주민센터,용전전화국,용전4,성남4,소제동,
대전역,중앙로역,한국철도시설공단,테미도서관,충남대학교병원,동산중고교,
산성우성아파트,도마교,신원상가,정림삼거리,정림중학교
&lt;막차 대한통운 기점지 미진입&gt;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</si>
</sst>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_-* #,##0.00_-;\-* #,##0.00_-;_-* &quot;-&quot;_-;_-@_-"/>
    <numFmt numFmtId="178" formatCode="_-* #,##0.0_-;\-* #,##0.0_-;_-* &quot;-&quot;_-;_-@_-"/>
  </numFmts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24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굴림체"/>
      <family val="3"/>
      <charset val="129"/>
    </font>
    <font>
      <sz val="9"/>
      <name val="굴림"/>
      <family val="3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FF0000"/>
      <name val="굴림"/>
      <family val="3"/>
      <charset val="129"/>
    </font>
    <font>
      <b/>
      <sz val="20"/>
      <color rgb="FFFF0000"/>
      <name val="굴림체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20"/>
      <name val="굴림체"/>
      <family val="3"/>
      <charset val="129"/>
    </font>
    <font>
      <sz val="20"/>
      <color rgb="FFFF0000"/>
      <name val="굴림체"/>
      <family val="3"/>
      <charset val="129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center" vertical="center" shrinkToFit="1"/>
    </xf>
    <xf numFmtId="177" fontId="4" fillId="0" borderId="0" xfId="1" applyNumberFormat="1" applyFont="1" applyFill="1" applyBorder="1" applyAlignment="1">
      <alignment horizontal="center" vertical="center" shrinkToFit="1"/>
    </xf>
    <xf numFmtId="178" fontId="4" fillId="0" borderId="0" xfId="1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6" fillId="0" borderId="0" xfId="1" applyFont="1" applyFill="1" applyBorder="1" applyAlignment="1">
      <alignment horizontal="center" vertical="center" shrinkToFit="1"/>
    </xf>
    <xf numFmtId="178" fontId="6" fillId="0" borderId="0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left" vertical="center" wrapText="1"/>
    </xf>
    <xf numFmtId="41" fontId="4" fillId="0" borderId="4" xfId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177" fontId="4" fillId="2" borderId="4" xfId="1" applyNumberFormat="1" applyFont="1" applyFill="1" applyBorder="1" applyAlignment="1">
      <alignment horizontal="center" vertical="center" shrinkToFit="1"/>
    </xf>
    <xf numFmtId="41" fontId="4" fillId="2" borderId="4" xfId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 shrinkToFit="1"/>
    </xf>
    <xf numFmtId="0" fontId="4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 shrinkToFit="1"/>
    </xf>
    <xf numFmtId="0" fontId="4" fillId="2" borderId="4" xfId="0" applyFont="1" applyFill="1" applyBorder="1" applyAlignment="1">
      <alignment horizontal="center" vertical="center" wrapText="1"/>
    </xf>
    <xf numFmtId="41" fontId="4" fillId="0" borderId="4" xfId="1" applyFont="1" applyFill="1" applyBorder="1" applyAlignment="1">
      <alignment horizontal="center" vertical="center" shrinkToFit="1"/>
    </xf>
    <xf numFmtId="178" fontId="4" fillId="0" borderId="4" xfId="1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41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41" fontId="4" fillId="0" borderId="4" xfId="1" applyNumberFormat="1" applyFont="1" applyFill="1" applyBorder="1" applyAlignment="1">
      <alignment horizontal="center" vertical="center" shrinkToFit="1"/>
    </xf>
    <xf numFmtId="176" fontId="4" fillId="3" borderId="4" xfId="1" applyNumberFormat="1" applyFont="1" applyFill="1" applyBorder="1" applyAlignment="1">
      <alignment horizontal="center" vertical="center" wrapText="1" shrinkToFit="1"/>
    </xf>
    <xf numFmtId="176" fontId="4" fillId="3" borderId="4" xfId="1" applyNumberFormat="1" applyFont="1" applyFill="1" applyBorder="1" applyAlignment="1">
      <alignment horizontal="center" vertical="center" shrinkToFit="1"/>
    </xf>
    <xf numFmtId="176" fontId="4" fillId="4" borderId="4" xfId="1" applyNumberFormat="1" applyFont="1" applyFill="1" applyBorder="1" applyAlignment="1">
      <alignment horizontal="center" vertical="center" wrapText="1" shrinkToFit="1"/>
    </xf>
    <xf numFmtId="176" fontId="4" fillId="4" borderId="4" xfId="1" applyNumberFormat="1" applyFont="1" applyFill="1" applyBorder="1" applyAlignment="1">
      <alignment horizontal="center" vertical="center" shrinkToFit="1"/>
    </xf>
    <xf numFmtId="177" fontId="6" fillId="0" borderId="4" xfId="1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176" fontId="4" fillId="3" borderId="4" xfId="1" applyNumberFormat="1" applyFont="1" applyFill="1" applyBorder="1" applyAlignment="1">
      <alignment horizontal="center" vertical="center" wrapText="1" shrinkToFit="1"/>
    </xf>
    <xf numFmtId="176" fontId="4" fillId="3" borderId="4" xfId="1" applyNumberFormat="1" applyFont="1" applyFill="1" applyBorder="1" applyAlignment="1">
      <alignment horizontal="center" vertical="center" shrinkToFit="1"/>
    </xf>
    <xf numFmtId="176" fontId="12" fillId="4" borderId="4" xfId="2" applyNumberFormat="1" applyFont="1" applyFill="1" applyBorder="1" applyAlignment="1">
      <alignment horizontal="center" vertical="center" shrinkToFit="1"/>
    </xf>
    <xf numFmtId="176" fontId="4" fillId="4" borderId="4" xfId="1" applyNumberFormat="1" applyFont="1" applyFill="1" applyBorder="1" applyAlignment="1">
      <alignment horizontal="center" vertical="center" wrapText="1" shrinkToFit="1"/>
    </xf>
    <xf numFmtId="176" fontId="4" fillId="4" borderId="4" xfId="0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wrapText="1" shrinkToFit="1"/>
    </xf>
    <xf numFmtId="176" fontId="7" fillId="3" borderId="4" xfId="2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3" borderId="5" xfId="1" applyNumberFormat="1" applyFont="1" applyFill="1" applyBorder="1" applyAlignment="1">
      <alignment horizontal="center" vertical="center" wrapText="1" shrinkToFit="1"/>
    </xf>
    <xf numFmtId="176" fontId="4" fillId="3" borderId="6" xfId="1" applyNumberFormat="1" applyFont="1" applyFill="1" applyBorder="1" applyAlignment="1">
      <alignment horizontal="center" vertical="center" wrapText="1" shrinkToFit="1"/>
    </xf>
    <xf numFmtId="176" fontId="4" fillId="4" borderId="4" xfId="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132"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  <dxf>
      <font>
        <b/>
        <i val="0"/>
        <color rgb="FFFF000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tabSelected="1" view="pageBreakPreview" zoomScaleNormal="100" zoomScaleSheetLayoutView="100" workbookViewId="0">
      <pane xSplit="1" ySplit="5" topLeftCell="S6" activePane="bottomRight" state="frozen"/>
      <selection pane="topRight" activeCell="B1" sqref="B1"/>
      <selection pane="bottomLeft" activeCell="A6" sqref="A6"/>
      <selection pane="bottomRight" activeCell="U6" sqref="U6"/>
    </sheetView>
  </sheetViews>
  <sheetFormatPr defaultRowHeight="16.5"/>
  <cols>
    <col min="1" max="1" width="5.5" style="3" customWidth="1"/>
    <col min="2" max="2" width="10.125" style="3" customWidth="1"/>
    <col min="3" max="3" width="44.5" style="6" customWidth="1"/>
    <col min="4" max="4" width="10" style="7" customWidth="1"/>
    <col min="5" max="6" width="7.375" style="8" customWidth="1"/>
    <col min="7" max="7" width="6.75" style="8" customWidth="1"/>
    <col min="8" max="9" width="6.375" style="7" customWidth="1"/>
    <col min="10" max="10" width="6.5" style="7" customWidth="1"/>
    <col min="11" max="11" width="5.25" style="7" customWidth="1"/>
    <col min="12" max="12" width="5.625" style="7" customWidth="1"/>
    <col min="13" max="13" width="6" style="7" customWidth="1"/>
    <col min="14" max="18" width="6.875" style="9" customWidth="1"/>
    <col min="19" max="19" width="6.5" style="7" customWidth="1"/>
    <col min="20" max="20" width="10.125" style="3" customWidth="1"/>
    <col min="21" max="21" width="42.125" style="6" customWidth="1"/>
    <col min="22" max="22" width="10.375" style="7" customWidth="1"/>
    <col min="23" max="24" width="7.375" style="8" customWidth="1"/>
    <col min="25" max="25" width="7.125" style="8" customWidth="1"/>
    <col min="26" max="26" width="6.375" style="7" customWidth="1"/>
    <col min="27" max="27" width="6.375" style="11" customWidth="1"/>
    <col min="28" max="28" width="6.875" style="7" customWidth="1"/>
    <col min="29" max="29" width="5.375" style="7" customWidth="1"/>
    <col min="30" max="30" width="5.25" style="11" customWidth="1"/>
    <col min="31" max="31" width="5.625" style="7" customWidth="1"/>
    <col min="32" max="32" width="5.75" style="9" customWidth="1"/>
    <col min="33" max="33" width="6.375" style="9" customWidth="1"/>
    <col min="34" max="34" width="6.375" style="12" customWidth="1"/>
    <col min="35" max="35" width="6.375" style="9" customWidth="1"/>
    <col min="36" max="37" width="6.75" style="7" customWidth="1"/>
    <col min="38" max="38" width="13.5" style="3" customWidth="1"/>
    <col min="39" max="16384" width="9" style="10"/>
  </cols>
  <sheetData>
    <row r="1" spans="1:38" s="1" customFormat="1" ht="33.75" customHeight="1">
      <c r="A1" s="56" t="s">
        <v>123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8" s="1" customFormat="1" ht="11.25" customHeight="1">
      <c r="A2" s="2"/>
      <c r="B2" s="2"/>
      <c r="C2" s="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2"/>
      <c r="T2" s="2"/>
      <c r="U2" s="2"/>
      <c r="V2" s="2"/>
      <c r="W2" s="42"/>
      <c r="X2" s="42"/>
      <c r="Y2" s="42"/>
      <c r="Z2" s="42"/>
      <c r="AA2" s="43"/>
      <c r="AB2" s="42"/>
      <c r="AC2" s="42"/>
      <c r="AD2" s="43"/>
      <c r="AE2" s="42"/>
      <c r="AF2" s="42"/>
      <c r="AG2" s="42"/>
      <c r="AH2" s="43"/>
      <c r="AI2" s="42"/>
      <c r="AJ2" s="42"/>
      <c r="AK2" s="42"/>
      <c r="AL2" s="3"/>
    </row>
    <row r="3" spans="1:38" s="1" customFormat="1" ht="32.25" customHeight="1">
      <c r="A3" s="49" t="s">
        <v>12</v>
      </c>
      <c r="B3" s="50" t="s">
        <v>13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6" t="s">
        <v>29</v>
      </c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8" t="s">
        <v>14</v>
      </c>
    </row>
    <row r="4" spans="1:38" s="4" customFormat="1" ht="39" customHeight="1">
      <c r="A4" s="49"/>
      <c r="B4" s="51" t="s">
        <v>15</v>
      </c>
      <c r="C4" s="51" t="s">
        <v>16</v>
      </c>
      <c r="D4" s="45" t="s">
        <v>109</v>
      </c>
      <c r="E4" s="44" t="s">
        <v>110</v>
      </c>
      <c r="F4" s="45"/>
      <c r="G4" s="45"/>
      <c r="H4" s="44" t="s">
        <v>111</v>
      </c>
      <c r="I4" s="45"/>
      <c r="J4" s="45"/>
      <c r="K4" s="45" t="s">
        <v>114</v>
      </c>
      <c r="L4" s="45"/>
      <c r="M4" s="45"/>
      <c r="N4" s="44" t="s">
        <v>112</v>
      </c>
      <c r="O4" s="45" t="s">
        <v>115</v>
      </c>
      <c r="P4" s="45"/>
      <c r="Q4" s="45"/>
      <c r="R4" s="44" t="s">
        <v>113</v>
      </c>
      <c r="S4" s="52" t="s">
        <v>116</v>
      </c>
      <c r="T4" s="48" t="s">
        <v>15</v>
      </c>
      <c r="U4" s="48" t="s">
        <v>16</v>
      </c>
      <c r="V4" s="54" t="s">
        <v>17</v>
      </c>
      <c r="W4" s="54" t="s">
        <v>18</v>
      </c>
      <c r="X4" s="54"/>
      <c r="Y4" s="54"/>
      <c r="Z4" s="54" t="s">
        <v>19</v>
      </c>
      <c r="AA4" s="54"/>
      <c r="AB4" s="54"/>
      <c r="AC4" s="54" t="s">
        <v>20</v>
      </c>
      <c r="AD4" s="54"/>
      <c r="AE4" s="54"/>
      <c r="AF4" s="47" t="s">
        <v>21</v>
      </c>
      <c r="AG4" s="54" t="s">
        <v>22</v>
      </c>
      <c r="AH4" s="54"/>
      <c r="AI4" s="54"/>
      <c r="AJ4" s="47" t="s">
        <v>23</v>
      </c>
      <c r="AK4" s="47" t="s">
        <v>30</v>
      </c>
      <c r="AL4" s="48"/>
    </row>
    <row r="5" spans="1:38" s="5" customFormat="1" ht="39" customHeight="1">
      <c r="A5" s="49"/>
      <c r="B5" s="51"/>
      <c r="C5" s="51"/>
      <c r="D5" s="45"/>
      <c r="E5" s="33" t="s">
        <v>117</v>
      </c>
      <c r="F5" s="33" t="s">
        <v>118</v>
      </c>
      <c r="G5" s="33" t="s">
        <v>119</v>
      </c>
      <c r="H5" s="34" t="s">
        <v>120</v>
      </c>
      <c r="I5" s="34" t="s">
        <v>121</v>
      </c>
      <c r="J5" s="34" t="s">
        <v>122</v>
      </c>
      <c r="K5" s="33" t="s">
        <v>120</v>
      </c>
      <c r="L5" s="34" t="s">
        <v>121</v>
      </c>
      <c r="M5" s="34" t="s">
        <v>122</v>
      </c>
      <c r="N5" s="44"/>
      <c r="O5" s="34" t="s">
        <v>120</v>
      </c>
      <c r="P5" s="34" t="s">
        <v>121</v>
      </c>
      <c r="Q5" s="34" t="s">
        <v>122</v>
      </c>
      <c r="R5" s="45"/>
      <c r="S5" s="53"/>
      <c r="T5" s="48"/>
      <c r="U5" s="48"/>
      <c r="V5" s="54"/>
      <c r="W5" s="35" t="s">
        <v>24</v>
      </c>
      <c r="X5" s="35" t="s">
        <v>25</v>
      </c>
      <c r="Y5" s="35" t="s">
        <v>26</v>
      </c>
      <c r="Z5" s="36" t="s">
        <v>27</v>
      </c>
      <c r="AA5" s="35" t="s">
        <v>1</v>
      </c>
      <c r="AB5" s="36" t="s">
        <v>28</v>
      </c>
      <c r="AC5" s="35" t="s">
        <v>0</v>
      </c>
      <c r="AD5" s="35" t="s">
        <v>1</v>
      </c>
      <c r="AE5" s="36" t="s">
        <v>28</v>
      </c>
      <c r="AF5" s="47"/>
      <c r="AG5" s="36" t="s">
        <v>27</v>
      </c>
      <c r="AH5" s="35" t="s">
        <v>1</v>
      </c>
      <c r="AI5" s="36" t="s">
        <v>28</v>
      </c>
      <c r="AJ5" s="54"/>
      <c r="AK5" s="47"/>
      <c r="AL5" s="48"/>
    </row>
    <row r="6" spans="1:38" s="1" customFormat="1" ht="67.5">
      <c r="A6" s="38">
        <v>1</v>
      </c>
      <c r="B6" s="14" t="s">
        <v>124</v>
      </c>
      <c r="C6" s="15" t="s">
        <v>196</v>
      </c>
      <c r="D6" s="16" t="s">
        <v>125</v>
      </c>
      <c r="E6" s="17">
        <f>13.5+0.03</f>
        <v>13.53</v>
      </c>
      <c r="F6" s="17">
        <f>14.61+0.03</f>
        <v>14.639999999999999</v>
      </c>
      <c r="G6" s="17">
        <f>F6+E6</f>
        <v>28.169999999999998</v>
      </c>
      <c r="H6" s="27">
        <v>8</v>
      </c>
      <c r="I6" s="27">
        <v>10</v>
      </c>
      <c r="J6" s="27">
        <v>9</v>
      </c>
      <c r="K6" s="28">
        <v>18</v>
      </c>
      <c r="L6" s="27">
        <v>13</v>
      </c>
      <c r="M6" s="27">
        <v>15</v>
      </c>
      <c r="N6" s="28">
        <v>7.7</v>
      </c>
      <c r="O6" s="28">
        <v>130.5</v>
      </c>
      <c r="P6" s="28">
        <v>100</v>
      </c>
      <c r="Q6" s="28">
        <f>M6*N6</f>
        <v>115.5</v>
      </c>
      <c r="R6" s="27">
        <v>48</v>
      </c>
      <c r="S6" s="14" t="s">
        <v>74</v>
      </c>
      <c r="T6" s="14" t="s">
        <v>31</v>
      </c>
      <c r="U6" s="15" t="s">
        <v>189</v>
      </c>
      <c r="V6" s="16" t="s">
        <v>32</v>
      </c>
      <c r="W6" s="37">
        <f>13.53-2.7+3.25</f>
        <v>14.079999999999998</v>
      </c>
      <c r="X6" s="37">
        <f>14.64-3.37+2.88</f>
        <v>14.149999999999999</v>
      </c>
      <c r="Y6" s="37">
        <f t="shared" ref="Y6:Y16" si="0">W6+X6</f>
        <v>28.229999999999997</v>
      </c>
      <c r="Z6" s="27">
        <v>8</v>
      </c>
      <c r="AA6" s="27">
        <v>10</v>
      </c>
      <c r="AB6" s="27">
        <v>9</v>
      </c>
      <c r="AC6" s="28">
        <v>18</v>
      </c>
      <c r="AD6" s="27">
        <v>13</v>
      </c>
      <c r="AE6" s="27">
        <v>15</v>
      </c>
      <c r="AF6" s="28">
        <v>7.7</v>
      </c>
      <c r="AG6" s="28">
        <v>130.5</v>
      </c>
      <c r="AH6" s="28">
        <v>100</v>
      </c>
      <c r="AI6" s="28">
        <f>AE6*AF6</f>
        <v>115.5</v>
      </c>
      <c r="AJ6" s="27">
        <v>48</v>
      </c>
      <c r="AK6" s="14" t="s">
        <v>74</v>
      </c>
      <c r="AL6" s="20" t="s">
        <v>72</v>
      </c>
    </row>
    <row r="7" spans="1:38" s="1" customFormat="1" ht="78.75">
      <c r="A7" s="38">
        <v>2</v>
      </c>
      <c r="B7" s="13" t="s">
        <v>33</v>
      </c>
      <c r="C7" s="15" t="s">
        <v>126</v>
      </c>
      <c r="D7" s="27" t="s">
        <v>41</v>
      </c>
      <c r="E7" s="17">
        <v>25.4</v>
      </c>
      <c r="F7" s="17">
        <v>25.4</v>
      </c>
      <c r="G7" s="17">
        <f>E7+F7</f>
        <v>50.8</v>
      </c>
      <c r="H7" s="27">
        <v>12</v>
      </c>
      <c r="I7" s="27">
        <v>15</v>
      </c>
      <c r="J7" s="27">
        <v>13</v>
      </c>
      <c r="K7" s="28">
        <v>19</v>
      </c>
      <c r="L7" s="27">
        <v>14</v>
      </c>
      <c r="M7" s="27">
        <v>17</v>
      </c>
      <c r="N7" s="28">
        <v>4.8</v>
      </c>
      <c r="O7" s="28">
        <v>85.5</v>
      </c>
      <c r="P7" s="28">
        <v>66.5</v>
      </c>
      <c r="Q7" s="28">
        <v>80.5</v>
      </c>
      <c r="R7" s="27">
        <v>87</v>
      </c>
      <c r="S7" s="39" t="s">
        <v>76</v>
      </c>
      <c r="T7" s="13" t="s">
        <v>33</v>
      </c>
      <c r="U7" s="15" t="s">
        <v>91</v>
      </c>
      <c r="V7" s="19" t="s">
        <v>75</v>
      </c>
      <c r="W7" s="37">
        <f>25.4-2.45+0.82</f>
        <v>23.77</v>
      </c>
      <c r="X7" s="37">
        <f>25.4-2.45+0.82</f>
        <v>23.77</v>
      </c>
      <c r="Y7" s="37">
        <f t="shared" si="0"/>
        <v>47.54</v>
      </c>
      <c r="Z7" s="27">
        <v>12</v>
      </c>
      <c r="AA7" s="27">
        <v>15</v>
      </c>
      <c r="AB7" s="27">
        <v>13</v>
      </c>
      <c r="AC7" s="28">
        <v>19</v>
      </c>
      <c r="AD7" s="27">
        <v>14</v>
      </c>
      <c r="AE7" s="27">
        <v>17</v>
      </c>
      <c r="AF7" s="28">
        <v>4.8</v>
      </c>
      <c r="AG7" s="28">
        <v>85.5</v>
      </c>
      <c r="AH7" s="28">
        <v>66.5</v>
      </c>
      <c r="AI7" s="28">
        <v>80.5</v>
      </c>
      <c r="AJ7" s="27">
        <v>87</v>
      </c>
      <c r="AK7" s="39" t="s">
        <v>76</v>
      </c>
      <c r="AL7" s="20" t="s">
        <v>72</v>
      </c>
    </row>
    <row r="8" spans="1:38" s="1" customFormat="1" ht="65.25" customHeight="1">
      <c r="A8" s="22">
        <v>4</v>
      </c>
      <c r="B8" s="24" t="s">
        <v>127</v>
      </c>
      <c r="C8" s="15" t="s">
        <v>128</v>
      </c>
      <c r="D8" s="22" t="s">
        <v>129</v>
      </c>
      <c r="E8" s="17">
        <v>15.8</v>
      </c>
      <c r="F8" s="17">
        <v>16.2</v>
      </c>
      <c r="G8" s="17">
        <f>E8+F8</f>
        <v>32</v>
      </c>
      <c r="H8" s="27">
        <v>13</v>
      </c>
      <c r="I8" s="27">
        <v>17</v>
      </c>
      <c r="J8" s="27">
        <v>14</v>
      </c>
      <c r="K8" s="28">
        <v>12</v>
      </c>
      <c r="L8" s="27">
        <v>9</v>
      </c>
      <c r="M8" s="27">
        <v>11</v>
      </c>
      <c r="N8" s="28">
        <v>6.7</v>
      </c>
      <c r="O8" s="28">
        <v>76.5</v>
      </c>
      <c r="P8" s="28">
        <v>60</v>
      </c>
      <c r="Q8" s="28">
        <v>73.5</v>
      </c>
      <c r="R8" s="27">
        <v>58</v>
      </c>
      <c r="S8" s="40" t="s">
        <v>130</v>
      </c>
      <c r="T8" s="24" t="s">
        <v>77</v>
      </c>
      <c r="U8" s="15" t="s">
        <v>92</v>
      </c>
      <c r="V8" s="26" t="s">
        <v>78</v>
      </c>
      <c r="W8" s="18">
        <v>15.8</v>
      </c>
      <c r="X8" s="18">
        <v>16.2</v>
      </c>
      <c r="Y8" s="17">
        <f>W8+X8</f>
        <v>32</v>
      </c>
      <c r="Z8" s="27">
        <v>13</v>
      </c>
      <c r="AA8" s="27">
        <v>17</v>
      </c>
      <c r="AB8" s="27">
        <v>14</v>
      </c>
      <c r="AC8" s="28">
        <v>12</v>
      </c>
      <c r="AD8" s="27">
        <v>9</v>
      </c>
      <c r="AE8" s="27">
        <v>11</v>
      </c>
      <c r="AF8" s="28">
        <v>6.7</v>
      </c>
      <c r="AG8" s="28">
        <v>76.5</v>
      </c>
      <c r="AH8" s="28">
        <v>60</v>
      </c>
      <c r="AI8" s="28">
        <v>73.5</v>
      </c>
      <c r="AJ8" s="27">
        <v>58</v>
      </c>
      <c r="AK8" s="40" t="s">
        <v>130</v>
      </c>
      <c r="AL8" s="20" t="s">
        <v>72</v>
      </c>
    </row>
    <row r="9" spans="1:38" s="1" customFormat="1" ht="67.5">
      <c r="A9" s="24">
        <v>101</v>
      </c>
      <c r="B9" s="24" t="s">
        <v>3</v>
      </c>
      <c r="C9" s="41" t="s">
        <v>131</v>
      </c>
      <c r="D9" s="26" t="s">
        <v>132</v>
      </c>
      <c r="E9" s="17">
        <v>21.26</v>
      </c>
      <c r="F9" s="17">
        <v>22.28</v>
      </c>
      <c r="G9" s="17">
        <f>E9+F9</f>
        <v>43.540000000000006</v>
      </c>
      <c r="H9" s="27">
        <v>20</v>
      </c>
      <c r="I9" s="27">
        <v>25</v>
      </c>
      <c r="J9" s="27">
        <v>22</v>
      </c>
      <c r="K9" s="28">
        <v>10</v>
      </c>
      <c r="L9" s="27">
        <v>8</v>
      </c>
      <c r="M9" s="27">
        <v>9</v>
      </c>
      <c r="N9" s="28">
        <v>5</v>
      </c>
      <c r="O9" s="28">
        <v>49</v>
      </c>
      <c r="P9" s="28">
        <f>L9*N9</f>
        <v>40</v>
      </c>
      <c r="Q9" s="28">
        <f>M9*N9</f>
        <v>45</v>
      </c>
      <c r="R9" s="27">
        <v>82</v>
      </c>
      <c r="S9" s="14" t="s">
        <v>133</v>
      </c>
      <c r="T9" s="21" t="s">
        <v>3</v>
      </c>
      <c r="U9" s="15" t="s">
        <v>89</v>
      </c>
      <c r="V9" s="22" t="s">
        <v>34</v>
      </c>
      <c r="W9" s="37">
        <f>21.26-1.78+2.42</f>
        <v>21.9</v>
      </c>
      <c r="X9" s="37">
        <f>22.28-1.78+2.42</f>
        <v>22.92</v>
      </c>
      <c r="Y9" s="37">
        <f t="shared" si="0"/>
        <v>44.82</v>
      </c>
      <c r="Z9" s="27">
        <v>20</v>
      </c>
      <c r="AA9" s="27">
        <v>25</v>
      </c>
      <c r="AB9" s="27">
        <v>22</v>
      </c>
      <c r="AC9" s="28">
        <v>10</v>
      </c>
      <c r="AD9" s="27">
        <v>8</v>
      </c>
      <c r="AE9" s="27">
        <v>9</v>
      </c>
      <c r="AF9" s="28">
        <v>5</v>
      </c>
      <c r="AG9" s="28">
        <v>49</v>
      </c>
      <c r="AH9" s="28">
        <f>AD9*AF9</f>
        <v>40</v>
      </c>
      <c r="AI9" s="28">
        <f>AE9*AF9</f>
        <v>45</v>
      </c>
      <c r="AJ9" s="27">
        <v>82</v>
      </c>
      <c r="AK9" s="14" t="s">
        <v>133</v>
      </c>
      <c r="AL9" s="20" t="s">
        <v>72</v>
      </c>
    </row>
    <row r="10" spans="1:38" s="1" customFormat="1" ht="96" customHeight="1">
      <c r="A10" s="24">
        <v>103</v>
      </c>
      <c r="B10" s="24" t="s">
        <v>4</v>
      </c>
      <c r="C10" s="41" t="s">
        <v>197</v>
      </c>
      <c r="D10" s="24" t="s">
        <v>134</v>
      </c>
      <c r="E10" s="17">
        <f>23.98+0.27</f>
        <v>24.25</v>
      </c>
      <c r="F10" s="17">
        <f>25.77+0.27</f>
        <v>26.04</v>
      </c>
      <c r="G10" s="17">
        <f t="shared" ref="G10:G11" si="1">E10+F10</f>
        <v>50.29</v>
      </c>
      <c r="H10" s="27">
        <v>13</v>
      </c>
      <c r="I10" s="27">
        <v>14</v>
      </c>
      <c r="J10" s="27">
        <v>14</v>
      </c>
      <c r="K10" s="28">
        <v>20</v>
      </c>
      <c r="L10" s="27">
        <v>18</v>
      </c>
      <c r="M10" s="27">
        <v>18</v>
      </c>
      <c r="N10" s="28">
        <v>4.0999999999999996</v>
      </c>
      <c r="O10" s="28">
        <v>75</v>
      </c>
      <c r="P10" s="28">
        <v>72</v>
      </c>
      <c r="Q10" s="28">
        <v>72</v>
      </c>
      <c r="R10" s="27">
        <v>99</v>
      </c>
      <c r="S10" s="13" t="s">
        <v>36</v>
      </c>
      <c r="T10" s="21" t="s">
        <v>4</v>
      </c>
      <c r="U10" s="15" t="s">
        <v>90</v>
      </c>
      <c r="V10" s="21" t="s">
        <v>35</v>
      </c>
      <c r="W10" s="37">
        <f>24.25+0.27-2.79+1.86</f>
        <v>23.59</v>
      </c>
      <c r="X10" s="37">
        <f>26.04+0.27-2.79+1.86</f>
        <v>25.38</v>
      </c>
      <c r="Y10" s="37">
        <f t="shared" si="0"/>
        <v>48.97</v>
      </c>
      <c r="Z10" s="27">
        <v>13</v>
      </c>
      <c r="AA10" s="27">
        <v>14</v>
      </c>
      <c r="AB10" s="27">
        <v>14</v>
      </c>
      <c r="AC10" s="28">
        <v>20</v>
      </c>
      <c r="AD10" s="27">
        <v>18</v>
      </c>
      <c r="AE10" s="27">
        <v>18</v>
      </c>
      <c r="AF10" s="28">
        <v>4.0999999999999996</v>
      </c>
      <c r="AG10" s="28">
        <v>75</v>
      </c>
      <c r="AH10" s="28">
        <v>72</v>
      </c>
      <c r="AI10" s="28">
        <v>72</v>
      </c>
      <c r="AJ10" s="27">
        <v>99</v>
      </c>
      <c r="AK10" s="13" t="s">
        <v>36</v>
      </c>
      <c r="AL10" s="20" t="s">
        <v>72</v>
      </c>
    </row>
    <row r="11" spans="1:38" s="1" customFormat="1" ht="123" customHeight="1">
      <c r="A11" s="26">
        <v>608</v>
      </c>
      <c r="B11" s="22" t="s">
        <v>135</v>
      </c>
      <c r="C11" s="23" t="s">
        <v>198</v>
      </c>
      <c r="D11" s="21" t="s">
        <v>136</v>
      </c>
      <c r="E11" s="17">
        <v>19.57</v>
      </c>
      <c r="F11" s="17">
        <v>17.87</v>
      </c>
      <c r="G11" s="17">
        <f t="shared" si="1"/>
        <v>37.44</v>
      </c>
      <c r="H11" s="27">
        <v>23</v>
      </c>
      <c r="I11" s="27">
        <v>26</v>
      </c>
      <c r="J11" s="27">
        <v>26</v>
      </c>
      <c r="K11" s="28">
        <v>9</v>
      </c>
      <c r="L11" s="27">
        <v>8</v>
      </c>
      <c r="M11" s="27">
        <v>8</v>
      </c>
      <c r="N11" s="28">
        <v>5</v>
      </c>
      <c r="O11" s="28">
        <f>K11*N11</f>
        <v>45</v>
      </c>
      <c r="P11" s="28">
        <f>L11*N11</f>
        <v>40</v>
      </c>
      <c r="Q11" s="28">
        <f>M11*N11</f>
        <v>40</v>
      </c>
      <c r="R11" s="27">
        <v>79</v>
      </c>
      <c r="S11" s="14" t="s">
        <v>137</v>
      </c>
      <c r="T11" s="22" t="s">
        <v>37</v>
      </c>
      <c r="U11" s="23" t="s">
        <v>190</v>
      </c>
      <c r="V11" s="21" t="s">
        <v>38</v>
      </c>
      <c r="W11" s="37">
        <f>19.57+1.6-2.79+1.86</f>
        <v>20.240000000000002</v>
      </c>
      <c r="X11" s="37">
        <f>17.87-2.79+1.86</f>
        <v>16.940000000000001</v>
      </c>
      <c r="Y11" s="37">
        <f>W11+X11</f>
        <v>37.180000000000007</v>
      </c>
      <c r="Z11" s="27">
        <v>23</v>
      </c>
      <c r="AA11" s="27">
        <v>26</v>
      </c>
      <c r="AB11" s="27">
        <v>26</v>
      </c>
      <c r="AC11" s="28">
        <v>9</v>
      </c>
      <c r="AD11" s="27">
        <v>8</v>
      </c>
      <c r="AE11" s="27">
        <v>8</v>
      </c>
      <c r="AF11" s="28">
        <v>5</v>
      </c>
      <c r="AG11" s="28">
        <f>AC11*AF11</f>
        <v>45</v>
      </c>
      <c r="AH11" s="28">
        <f>AD11*AF11</f>
        <v>40</v>
      </c>
      <c r="AI11" s="28">
        <f>AE11*AF11</f>
        <v>40</v>
      </c>
      <c r="AJ11" s="27">
        <v>79</v>
      </c>
      <c r="AK11" s="14" t="s">
        <v>137</v>
      </c>
      <c r="AL11" s="20" t="s">
        <v>72</v>
      </c>
    </row>
    <row r="12" spans="1:38" s="1" customFormat="1" ht="63.75" customHeight="1">
      <c r="A12" s="22">
        <v>20</v>
      </c>
      <c r="B12" s="22" t="s">
        <v>138</v>
      </c>
      <c r="C12" s="23" t="s">
        <v>199</v>
      </c>
      <c r="D12" s="22" t="s">
        <v>139</v>
      </c>
      <c r="E12" s="17">
        <f>22.27+0.03</f>
        <v>22.3</v>
      </c>
      <c r="F12" s="17">
        <f>22.2-0.27+0.03</f>
        <v>21.96</v>
      </c>
      <c r="G12" s="17">
        <f t="shared" ref="G12" si="2">F12+E12</f>
        <v>44.260000000000005</v>
      </c>
      <c r="H12" s="27">
        <v>100</v>
      </c>
      <c r="I12" s="27">
        <v>100</v>
      </c>
      <c r="J12" s="27">
        <v>100</v>
      </c>
      <c r="K12" s="28">
        <v>2</v>
      </c>
      <c r="L12" s="27">
        <v>2</v>
      </c>
      <c r="M12" s="27">
        <v>2</v>
      </c>
      <c r="N12" s="28">
        <v>5</v>
      </c>
      <c r="O12" s="28">
        <v>10</v>
      </c>
      <c r="P12" s="28">
        <v>10</v>
      </c>
      <c r="Q12" s="28">
        <v>10</v>
      </c>
      <c r="R12" s="27">
        <v>90</v>
      </c>
      <c r="S12" s="13" t="s">
        <v>80</v>
      </c>
      <c r="T12" s="22" t="s">
        <v>39</v>
      </c>
      <c r="U12" s="23" t="s">
        <v>191</v>
      </c>
      <c r="V12" s="22" t="s">
        <v>40</v>
      </c>
      <c r="W12" s="37">
        <f>22.3+0.17-0.27-2.79+1.86</f>
        <v>21.270000000000003</v>
      </c>
      <c r="X12" s="37">
        <f>21.96-0.27-2.79+1.86</f>
        <v>20.76</v>
      </c>
      <c r="Y12" s="37">
        <f>W12+X12</f>
        <v>42.03</v>
      </c>
      <c r="Z12" s="27">
        <v>100</v>
      </c>
      <c r="AA12" s="27">
        <v>100</v>
      </c>
      <c r="AB12" s="27">
        <v>100</v>
      </c>
      <c r="AC12" s="28">
        <v>2</v>
      </c>
      <c r="AD12" s="27">
        <v>2</v>
      </c>
      <c r="AE12" s="27">
        <v>2</v>
      </c>
      <c r="AF12" s="28">
        <v>5</v>
      </c>
      <c r="AG12" s="28">
        <v>10</v>
      </c>
      <c r="AH12" s="28">
        <v>10</v>
      </c>
      <c r="AI12" s="28">
        <v>10</v>
      </c>
      <c r="AJ12" s="27">
        <v>90</v>
      </c>
      <c r="AK12" s="13" t="s">
        <v>80</v>
      </c>
      <c r="AL12" s="20" t="s">
        <v>72</v>
      </c>
    </row>
    <row r="13" spans="1:38" s="1" customFormat="1" ht="78.75">
      <c r="A13" s="21">
        <v>30</v>
      </c>
      <c r="B13" s="21" t="s">
        <v>7</v>
      </c>
      <c r="C13" s="23" t="s">
        <v>140</v>
      </c>
      <c r="D13" s="22" t="s">
        <v>141</v>
      </c>
      <c r="E13" s="17">
        <f>31.11+0.13</f>
        <v>31.24</v>
      </c>
      <c r="F13" s="17">
        <v>30.12</v>
      </c>
      <c r="G13" s="17">
        <f>E13+F13</f>
        <v>61.36</v>
      </c>
      <c r="H13" s="27">
        <v>120</v>
      </c>
      <c r="I13" s="27">
        <v>120</v>
      </c>
      <c r="J13" s="27">
        <v>120</v>
      </c>
      <c r="K13" s="27">
        <v>2</v>
      </c>
      <c r="L13" s="27">
        <v>2</v>
      </c>
      <c r="M13" s="27">
        <v>2</v>
      </c>
      <c r="N13" s="28">
        <v>4.5</v>
      </c>
      <c r="O13" s="28">
        <f>N13*K13</f>
        <v>9</v>
      </c>
      <c r="P13" s="28">
        <f t="shared" ref="P13" si="3">N13*L13</f>
        <v>9</v>
      </c>
      <c r="Q13" s="28">
        <f t="shared" ref="Q13" si="4">N13*M13</f>
        <v>9</v>
      </c>
      <c r="R13" s="27">
        <v>100</v>
      </c>
      <c r="S13" s="13" t="s">
        <v>59</v>
      </c>
      <c r="T13" s="21" t="s">
        <v>7</v>
      </c>
      <c r="U13" s="23" t="s">
        <v>93</v>
      </c>
      <c r="V13" s="22" t="s">
        <v>70</v>
      </c>
      <c r="W13" s="17">
        <v>31.24</v>
      </c>
      <c r="X13" s="37">
        <f>30.12-2.79+1.86</f>
        <v>29.19</v>
      </c>
      <c r="Y13" s="37">
        <f>W13+X13</f>
        <v>60.43</v>
      </c>
      <c r="Z13" s="27">
        <v>120</v>
      </c>
      <c r="AA13" s="27">
        <v>120</v>
      </c>
      <c r="AB13" s="27">
        <v>120</v>
      </c>
      <c r="AC13" s="27">
        <v>2</v>
      </c>
      <c r="AD13" s="27">
        <v>2</v>
      </c>
      <c r="AE13" s="27">
        <v>2</v>
      </c>
      <c r="AF13" s="28">
        <v>4.5</v>
      </c>
      <c r="AG13" s="28">
        <f>AF13*AC13</f>
        <v>9</v>
      </c>
      <c r="AH13" s="28">
        <f t="shared" ref="AH13" si="5">AF13*AD13</f>
        <v>9</v>
      </c>
      <c r="AI13" s="28">
        <f t="shared" ref="AI13" si="6">AF13*AE13</f>
        <v>9</v>
      </c>
      <c r="AJ13" s="27">
        <v>100</v>
      </c>
      <c r="AK13" s="13" t="s">
        <v>59</v>
      </c>
      <c r="AL13" s="20" t="s">
        <v>72</v>
      </c>
    </row>
    <row r="14" spans="1:38" s="1" customFormat="1" ht="66" customHeight="1">
      <c r="A14" s="24">
        <v>107</v>
      </c>
      <c r="B14" s="24" t="s">
        <v>41</v>
      </c>
      <c r="C14" s="25" t="s">
        <v>142</v>
      </c>
      <c r="D14" s="24" t="s">
        <v>143</v>
      </c>
      <c r="E14" s="17">
        <f>21.45+0.17</f>
        <v>21.62</v>
      </c>
      <c r="F14" s="17">
        <v>21.89</v>
      </c>
      <c r="G14" s="17">
        <f t="shared" ref="G14" si="7">E14+F14</f>
        <v>43.510000000000005</v>
      </c>
      <c r="H14" s="27">
        <v>21</v>
      </c>
      <c r="I14" s="27">
        <v>21</v>
      </c>
      <c r="J14" s="27">
        <v>21</v>
      </c>
      <c r="K14" s="28">
        <v>9</v>
      </c>
      <c r="L14" s="27">
        <v>9</v>
      </c>
      <c r="M14" s="27">
        <v>9</v>
      </c>
      <c r="N14" s="28">
        <v>5.5</v>
      </c>
      <c r="O14" s="28">
        <v>47</v>
      </c>
      <c r="P14" s="28">
        <v>47.5</v>
      </c>
      <c r="Q14" s="28">
        <v>47.5</v>
      </c>
      <c r="R14" s="27">
        <v>74</v>
      </c>
      <c r="S14" s="13" t="s">
        <v>43</v>
      </c>
      <c r="T14" s="21" t="s">
        <v>41</v>
      </c>
      <c r="U14" s="23" t="s">
        <v>87</v>
      </c>
      <c r="V14" s="21" t="s">
        <v>42</v>
      </c>
      <c r="W14" s="37">
        <f>21.62-1.45+1.82</f>
        <v>21.990000000000002</v>
      </c>
      <c r="X14" s="37">
        <f>21.89-1.45+1.82</f>
        <v>22.26</v>
      </c>
      <c r="Y14" s="37">
        <f t="shared" si="0"/>
        <v>44.25</v>
      </c>
      <c r="Z14" s="27">
        <v>21</v>
      </c>
      <c r="AA14" s="27">
        <v>21</v>
      </c>
      <c r="AB14" s="27">
        <v>21</v>
      </c>
      <c r="AC14" s="28">
        <v>9</v>
      </c>
      <c r="AD14" s="27">
        <v>9</v>
      </c>
      <c r="AE14" s="27">
        <v>9</v>
      </c>
      <c r="AF14" s="28">
        <v>5.5</v>
      </c>
      <c r="AG14" s="28">
        <v>47</v>
      </c>
      <c r="AH14" s="28">
        <v>47.5</v>
      </c>
      <c r="AI14" s="28">
        <v>47.5</v>
      </c>
      <c r="AJ14" s="27">
        <v>74</v>
      </c>
      <c r="AK14" s="13" t="s">
        <v>43</v>
      </c>
      <c r="AL14" s="20" t="s">
        <v>72</v>
      </c>
    </row>
    <row r="15" spans="1:38" s="1" customFormat="1" ht="101.25">
      <c r="A15" s="24">
        <v>201</v>
      </c>
      <c r="B15" s="22" t="s">
        <v>44</v>
      </c>
      <c r="C15" s="23" t="s">
        <v>200</v>
      </c>
      <c r="D15" s="22" t="s">
        <v>144</v>
      </c>
      <c r="E15" s="17">
        <f>18.7+0.03</f>
        <v>18.73</v>
      </c>
      <c r="F15" s="17">
        <f>19.39+0.03</f>
        <v>19.420000000000002</v>
      </c>
      <c r="G15" s="17">
        <f>F15+E15</f>
        <v>38.150000000000006</v>
      </c>
      <c r="H15" s="27">
        <v>8</v>
      </c>
      <c r="I15" s="27">
        <v>9</v>
      </c>
      <c r="J15" s="27">
        <v>8</v>
      </c>
      <c r="K15" s="28">
        <v>26</v>
      </c>
      <c r="L15" s="30">
        <v>22</v>
      </c>
      <c r="M15" s="30">
        <v>24</v>
      </c>
      <c r="N15" s="28">
        <v>5</v>
      </c>
      <c r="O15" s="28">
        <f>25.5*N15</f>
        <v>127.5</v>
      </c>
      <c r="P15" s="28">
        <f>L15*N15</f>
        <v>110</v>
      </c>
      <c r="Q15" s="28">
        <f>M15*N15</f>
        <v>120</v>
      </c>
      <c r="R15" s="27">
        <v>83</v>
      </c>
      <c r="S15" s="13" t="s">
        <v>145</v>
      </c>
      <c r="T15" s="22" t="s">
        <v>44</v>
      </c>
      <c r="U15" s="23" t="s">
        <v>192</v>
      </c>
      <c r="V15" s="22" t="s">
        <v>45</v>
      </c>
      <c r="W15" s="37">
        <f>18.73-1.91+1.86</f>
        <v>18.68</v>
      </c>
      <c r="X15" s="37">
        <f>19.42-1.91+1.86</f>
        <v>19.37</v>
      </c>
      <c r="Y15" s="37">
        <f t="shared" si="0"/>
        <v>38.049999999999997</v>
      </c>
      <c r="Z15" s="27">
        <v>8</v>
      </c>
      <c r="AA15" s="27">
        <v>9</v>
      </c>
      <c r="AB15" s="27">
        <v>8</v>
      </c>
      <c r="AC15" s="28">
        <v>26</v>
      </c>
      <c r="AD15" s="30">
        <v>22</v>
      </c>
      <c r="AE15" s="30">
        <v>24</v>
      </c>
      <c r="AF15" s="28">
        <v>5</v>
      </c>
      <c r="AG15" s="28">
        <f>25.5*AF15</f>
        <v>127.5</v>
      </c>
      <c r="AH15" s="28">
        <f>AD15*AF15</f>
        <v>110</v>
      </c>
      <c r="AI15" s="28">
        <f>AE15*AF15</f>
        <v>120</v>
      </c>
      <c r="AJ15" s="27">
        <v>83</v>
      </c>
      <c r="AK15" s="13" t="s">
        <v>145</v>
      </c>
      <c r="AL15" s="20" t="s">
        <v>72</v>
      </c>
    </row>
    <row r="16" spans="1:38" s="1" customFormat="1" ht="90">
      <c r="A16" s="26" t="s">
        <v>81</v>
      </c>
      <c r="B16" s="21" t="s">
        <v>5</v>
      </c>
      <c r="C16" s="23" t="s">
        <v>201</v>
      </c>
      <c r="D16" s="22" t="s">
        <v>146</v>
      </c>
      <c r="E16" s="17">
        <f>32.39+0.03</f>
        <v>32.42</v>
      </c>
      <c r="F16" s="17">
        <f>29.87+2.7+0.03</f>
        <v>32.6</v>
      </c>
      <c r="G16" s="17">
        <f>F16+E16</f>
        <v>65.02000000000001</v>
      </c>
      <c r="H16" s="27">
        <v>32</v>
      </c>
      <c r="I16" s="27">
        <v>34</v>
      </c>
      <c r="J16" s="27">
        <v>34</v>
      </c>
      <c r="K16" s="28">
        <v>8</v>
      </c>
      <c r="L16" s="30">
        <v>7</v>
      </c>
      <c r="M16" s="30">
        <v>7</v>
      </c>
      <c r="N16" s="28">
        <v>4</v>
      </c>
      <c r="O16" s="28">
        <v>31.5</v>
      </c>
      <c r="P16" s="28">
        <v>27.5</v>
      </c>
      <c r="Q16" s="28">
        <v>27.5</v>
      </c>
      <c r="R16" s="27">
        <v>106</v>
      </c>
      <c r="S16" s="14" t="s">
        <v>188</v>
      </c>
      <c r="T16" s="21" t="s">
        <v>5</v>
      </c>
      <c r="U16" s="23" t="s">
        <v>193</v>
      </c>
      <c r="V16" s="22" t="s">
        <v>46</v>
      </c>
      <c r="W16" s="37">
        <f>34.42-1.91+1.86</f>
        <v>34.370000000000005</v>
      </c>
      <c r="X16" s="37">
        <f>32.6-1.91+1.86</f>
        <v>32.550000000000004</v>
      </c>
      <c r="Y16" s="37">
        <f t="shared" si="0"/>
        <v>66.920000000000016</v>
      </c>
      <c r="Z16" s="27">
        <v>32</v>
      </c>
      <c r="AA16" s="27">
        <v>34</v>
      </c>
      <c r="AB16" s="27">
        <v>34</v>
      </c>
      <c r="AC16" s="28">
        <v>8</v>
      </c>
      <c r="AD16" s="30">
        <v>7</v>
      </c>
      <c r="AE16" s="30">
        <v>7</v>
      </c>
      <c r="AF16" s="28">
        <v>4</v>
      </c>
      <c r="AG16" s="28">
        <v>31.5</v>
      </c>
      <c r="AH16" s="28">
        <v>27.5</v>
      </c>
      <c r="AI16" s="28">
        <v>27.5</v>
      </c>
      <c r="AJ16" s="27">
        <v>106</v>
      </c>
      <c r="AK16" s="14" t="s">
        <v>188</v>
      </c>
      <c r="AL16" s="20" t="s">
        <v>72</v>
      </c>
    </row>
    <row r="17" spans="1:38" s="1" customFormat="1" ht="63" customHeight="1">
      <c r="A17" s="24">
        <v>613</v>
      </c>
      <c r="B17" s="21" t="s">
        <v>48</v>
      </c>
      <c r="C17" s="23" t="s">
        <v>202</v>
      </c>
      <c r="D17" s="21" t="s">
        <v>8</v>
      </c>
      <c r="E17" s="17">
        <f>15.51+0.03</f>
        <v>15.54</v>
      </c>
      <c r="F17" s="17">
        <f>14.93+0.03</f>
        <v>14.959999999999999</v>
      </c>
      <c r="G17" s="17">
        <f>F17+E17</f>
        <v>30.5</v>
      </c>
      <c r="H17" s="27">
        <v>13</v>
      </c>
      <c r="I17" s="27">
        <v>19</v>
      </c>
      <c r="J17" s="27">
        <v>17</v>
      </c>
      <c r="K17" s="28">
        <v>13</v>
      </c>
      <c r="L17" s="27">
        <v>9</v>
      </c>
      <c r="M17" s="27">
        <v>10</v>
      </c>
      <c r="N17" s="28">
        <v>5.9</v>
      </c>
      <c r="O17" s="28">
        <v>76.5</v>
      </c>
      <c r="P17" s="28">
        <v>53</v>
      </c>
      <c r="Q17" s="28">
        <f>M17*N17</f>
        <v>59</v>
      </c>
      <c r="R17" s="27">
        <v>67</v>
      </c>
      <c r="S17" s="13" t="s">
        <v>147</v>
      </c>
      <c r="T17" s="21" t="s">
        <v>48</v>
      </c>
      <c r="U17" s="23" t="s">
        <v>194</v>
      </c>
      <c r="V17" s="21" t="s">
        <v>8</v>
      </c>
      <c r="W17" s="37">
        <f>15.54-1.91+1.86</f>
        <v>15.489999999999998</v>
      </c>
      <c r="X17" s="37">
        <f>14.96-1.91+1.86</f>
        <v>14.91</v>
      </c>
      <c r="Y17" s="37">
        <f>W17+X17</f>
        <v>30.4</v>
      </c>
      <c r="Z17" s="27">
        <v>13</v>
      </c>
      <c r="AA17" s="27">
        <v>19</v>
      </c>
      <c r="AB17" s="27">
        <v>17</v>
      </c>
      <c r="AC17" s="28">
        <v>13</v>
      </c>
      <c r="AD17" s="27">
        <v>9</v>
      </c>
      <c r="AE17" s="27">
        <v>10</v>
      </c>
      <c r="AF17" s="28">
        <v>5.9</v>
      </c>
      <c r="AG17" s="28">
        <v>76.5</v>
      </c>
      <c r="AH17" s="28">
        <v>53</v>
      </c>
      <c r="AI17" s="28">
        <f>AE17*AF17</f>
        <v>59</v>
      </c>
      <c r="AJ17" s="27">
        <v>67</v>
      </c>
      <c r="AK17" s="13" t="s">
        <v>147</v>
      </c>
      <c r="AL17" s="20" t="s">
        <v>72</v>
      </c>
    </row>
    <row r="18" spans="1:38" s="1" customFormat="1" ht="64.5" customHeight="1">
      <c r="A18" s="26">
        <v>622</v>
      </c>
      <c r="B18" s="26" t="s">
        <v>148</v>
      </c>
      <c r="C18" s="15" t="s">
        <v>149</v>
      </c>
      <c r="D18" s="24" t="s">
        <v>150</v>
      </c>
      <c r="E18" s="17">
        <v>8.9</v>
      </c>
      <c r="F18" s="17">
        <v>8</v>
      </c>
      <c r="G18" s="17">
        <f>F18+E18</f>
        <v>16.899999999999999</v>
      </c>
      <c r="H18" s="27">
        <v>29</v>
      </c>
      <c r="I18" s="27">
        <v>29</v>
      </c>
      <c r="J18" s="27">
        <v>29</v>
      </c>
      <c r="K18" s="28">
        <v>4</v>
      </c>
      <c r="L18" s="27">
        <v>4</v>
      </c>
      <c r="M18" s="27">
        <v>4</v>
      </c>
      <c r="N18" s="28">
        <v>8.8000000000000007</v>
      </c>
      <c r="O18" s="28">
        <v>35</v>
      </c>
      <c r="P18" s="28">
        <v>35</v>
      </c>
      <c r="Q18" s="28">
        <v>35</v>
      </c>
      <c r="R18" s="27">
        <v>40</v>
      </c>
      <c r="S18" s="14" t="s">
        <v>151</v>
      </c>
      <c r="T18" s="22" t="s">
        <v>50</v>
      </c>
      <c r="U18" s="15" t="s">
        <v>94</v>
      </c>
      <c r="V18" s="21" t="s">
        <v>51</v>
      </c>
      <c r="W18" s="37">
        <f>8.9-1.91+1.86</f>
        <v>8.85</v>
      </c>
      <c r="X18" s="37">
        <f>8-1.91+1.86</f>
        <v>7.95</v>
      </c>
      <c r="Y18" s="37">
        <f>X18+W18</f>
        <v>16.8</v>
      </c>
      <c r="Z18" s="27">
        <v>29</v>
      </c>
      <c r="AA18" s="27">
        <v>29</v>
      </c>
      <c r="AB18" s="27">
        <v>29</v>
      </c>
      <c r="AC18" s="28">
        <v>4</v>
      </c>
      <c r="AD18" s="27">
        <v>4</v>
      </c>
      <c r="AE18" s="27">
        <v>4</v>
      </c>
      <c r="AF18" s="28">
        <v>8.8000000000000007</v>
      </c>
      <c r="AG18" s="28">
        <v>35</v>
      </c>
      <c r="AH18" s="28">
        <v>35</v>
      </c>
      <c r="AI18" s="28">
        <v>35</v>
      </c>
      <c r="AJ18" s="27">
        <v>40</v>
      </c>
      <c r="AK18" s="14" t="s">
        <v>151</v>
      </c>
      <c r="AL18" s="20" t="s">
        <v>72</v>
      </c>
    </row>
    <row r="19" spans="1:38" s="1" customFormat="1" ht="78.75" customHeight="1">
      <c r="A19" s="26">
        <v>314</v>
      </c>
      <c r="B19" s="24" t="s">
        <v>152</v>
      </c>
      <c r="C19" s="25" t="s">
        <v>153</v>
      </c>
      <c r="D19" s="24" t="s">
        <v>134</v>
      </c>
      <c r="E19" s="17">
        <v>18.22</v>
      </c>
      <c r="F19" s="17">
        <v>18.72</v>
      </c>
      <c r="G19" s="17">
        <f t="shared" ref="G19" si="8">E19+F19</f>
        <v>36.94</v>
      </c>
      <c r="H19" s="27">
        <v>11</v>
      </c>
      <c r="I19" s="27">
        <v>14</v>
      </c>
      <c r="J19" s="27">
        <v>13</v>
      </c>
      <c r="K19" s="28">
        <v>19</v>
      </c>
      <c r="L19" s="27">
        <v>14</v>
      </c>
      <c r="M19" s="27">
        <v>15</v>
      </c>
      <c r="N19" s="28">
        <v>5.2</v>
      </c>
      <c r="O19" s="28">
        <v>95.5</v>
      </c>
      <c r="P19" s="28">
        <v>72.5</v>
      </c>
      <c r="Q19" s="28">
        <v>78</v>
      </c>
      <c r="R19" s="27">
        <v>76</v>
      </c>
      <c r="S19" s="13" t="s">
        <v>154</v>
      </c>
      <c r="T19" s="21" t="s">
        <v>47</v>
      </c>
      <c r="U19" s="23" t="s">
        <v>95</v>
      </c>
      <c r="V19" s="21" t="s">
        <v>35</v>
      </c>
      <c r="W19" s="37">
        <f>18.22-1.91+1.86</f>
        <v>18.169999999999998</v>
      </c>
      <c r="X19" s="37">
        <f>18.72-1.91+1.86</f>
        <v>18.669999999999998</v>
      </c>
      <c r="Y19" s="37">
        <f>W19+X19</f>
        <v>36.839999999999996</v>
      </c>
      <c r="Z19" s="27">
        <v>11</v>
      </c>
      <c r="AA19" s="27">
        <v>14</v>
      </c>
      <c r="AB19" s="27">
        <v>13</v>
      </c>
      <c r="AC19" s="28">
        <v>19</v>
      </c>
      <c r="AD19" s="27">
        <v>14</v>
      </c>
      <c r="AE19" s="27">
        <v>15</v>
      </c>
      <c r="AF19" s="28">
        <v>5.2</v>
      </c>
      <c r="AG19" s="28">
        <v>95.5</v>
      </c>
      <c r="AH19" s="28">
        <v>72.5</v>
      </c>
      <c r="AI19" s="28">
        <v>78</v>
      </c>
      <c r="AJ19" s="27">
        <v>76</v>
      </c>
      <c r="AK19" s="13" t="s">
        <v>154</v>
      </c>
      <c r="AL19" s="20" t="s">
        <v>72</v>
      </c>
    </row>
    <row r="20" spans="1:38" s="1" customFormat="1" ht="104.25" customHeight="1">
      <c r="A20" s="24">
        <v>614</v>
      </c>
      <c r="B20" s="24" t="s">
        <v>9</v>
      </c>
      <c r="C20" s="25" t="s">
        <v>155</v>
      </c>
      <c r="D20" s="24" t="s">
        <v>49</v>
      </c>
      <c r="E20" s="17">
        <v>15.23</v>
      </c>
      <c r="F20" s="17">
        <v>13.77</v>
      </c>
      <c r="G20" s="17">
        <f>E20+F20</f>
        <v>29</v>
      </c>
      <c r="H20" s="27">
        <v>21</v>
      </c>
      <c r="I20" s="27">
        <v>27</v>
      </c>
      <c r="J20" s="27">
        <v>27</v>
      </c>
      <c r="K20" s="28">
        <v>8</v>
      </c>
      <c r="L20" s="30">
        <v>6</v>
      </c>
      <c r="M20" s="30">
        <v>6</v>
      </c>
      <c r="N20" s="28">
        <v>6.2</v>
      </c>
      <c r="O20" s="28">
        <v>48</v>
      </c>
      <c r="P20" s="28">
        <v>37</v>
      </c>
      <c r="Q20" s="28">
        <v>37</v>
      </c>
      <c r="R20" s="27">
        <v>62</v>
      </c>
      <c r="S20" s="14" t="s">
        <v>79</v>
      </c>
      <c r="T20" s="21" t="s">
        <v>9</v>
      </c>
      <c r="U20" s="23" t="s">
        <v>96</v>
      </c>
      <c r="V20" s="21" t="s">
        <v>49</v>
      </c>
      <c r="W20" s="37">
        <f>15.23-1.91+1.86</f>
        <v>15.18</v>
      </c>
      <c r="X20" s="37">
        <f>13.77-1.91+1.86</f>
        <v>13.719999999999999</v>
      </c>
      <c r="Y20" s="37">
        <f>W20+X20</f>
        <v>28.9</v>
      </c>
      <c r="Z20" s="27">
        <v>21</v>
      </c>
      <c r="AA20" s="27">
        <v>27</v>
      </c>
      <c r="AB20" s="27">
        <v>27</v>
      </c>
      <c r="AC20" s="28">
        <v>8</v>
      </c>
      <c r="AD20" s="30">
        <v>6</v>
      </c>
      <c r="AE20" s="30">
        <v>6</v>
      </c>
      <c r="AF20" s="28">
        <v>6.2</v>
      </c>
      <c r="AG20" s="28">
        <v>48</v>
      </c>
      <c r="AH20" s="28">
        <v>37</v>
      </c>
      <c r="AI20" s="28">
        <v>37</v>
      </c>
      <c r="AJ20" s="27">
        <v>62</v>
      </c>
      <c r="AK20" s="14" t="s">
        <v>79</v>
      </c>
      <c r="AL20" s="20" t="s">
        <v>72</v>
      </c>
    </row>
    <row r="21" spans="1:38" s="1" customFormat="1" ht="66" customHeight="1">
      <c r="A21" s="24">
        <v>620</v>
      </c>
      <c r="B21" s="26" t="s">
        <v>52</v>
      </c>
      <c r="C21" s="25" t="s">
        <v>82</v>
      </c>
      <c r="D21" s="26" t="s">
        <v>53</v>
      </c>
      <c r="E21" s="17">
        <v>21.14</v>
      </c>
      <c r="F21" s="17">
        <v>20.49</v>
      </c>
      <c r="G21" s="17">
        <f>E21+F21</f>
        <v>41.629999999999995</v>
      </c>
      <c r="H21" s="27">
        <v>26</v>
      </c>
      <c r="I21" s="27">
        <v>33</v>
      </c>
      <c r="J21" s="27">
        <v>33</v>
      </c>
      <c r="K21" s="28">
        <v>8</v>
      </c>
      <c r="L21" s="30">
        <v>6</v>
      </c>
      <c r="M21" s="30">
        <v>6</v>
      </c>
      <c r="N21" s="28">
        <v>5</v>
      </c>
      <c r="O21" s="28">
        <v>39</v>
      </c>
      <c r="P21" s="28">
        <f>L21*N21</f>
        <v>30</v>
      </c>
      <c r="Q21" s="28">
        <f>M21*N21</f>
        <v>30</v>
      </c>
      <c r="R21" s="27">
        <v>83</v>
      </c>
      <c r="S21" s="13" t="s">
        <v>156</v>
      </c>
      <c r="T21" s="22" t="s">
        <v>52</v>
      </c>
      <c r="U21" s="23" t="s">
        <v>97</v>
      </c>
      <c r="V21" s="22" t="s">
        <v>53</v>
      </c>
      <c r="W21" s="37">
        <f>21.14-1.21+0.84</f>
        <v>20.77</v>
      </c>
      <c r="X21" s="37">
        <f>20.49-1.21+0.84</f>
        <v>20.119999999999997</v>
      </c>
      <c r="Y21" s="37">
        <f>W21+X21</f>
        <v>40.89</v>
      </c>
      <c r="Z21" s="27">
        <v>26</v>
      </c>
      <c r="AA21" s="27">
        <v>33</v>
      </c>
      <c r="AB21" s="27">
        <v>33</v>
      </c>
      <c r="AC21" s="28">
        <v>8</v>
      </c>
      <c r="AD21" s="30">
        <v>6</v>
      </c>
      <c r="AE21" s="30">
        <v>6</v>
      </c>
      <c r="AF21" s="28">
        <v>5</v>
      </c>
      <c r="AG21" s="28">
        <v>39</v>
      </c>
      <c r="AH21" s="28">
        <f>AD21*AF21</f>
        <v>30</v>
      </c>
      <c r="AI21" s="28">
        <f>AE21*AF21</f>
        <v>30</v>
      </c>
      <c r="AJ21" s="27">
        <v>83</v>
      </c>
      <c r="AK21" s="13" t="s">
        <v>156</v>
      </c>
      <c r="AL21" s="20" t="s">
        <v>72</v>
      </c>
    </row>
    <row r="22" spans="1:38" s="1" customFormat="1" ht="78.75">
      <c r="A22" s="24">
        <v>311</v>
      </c>
      <c r="B22" s="24" t="s">
        <v>157</v>
      </c>
      <c r="C22" s="25" t="s">
        <v>158</v>
      </c>
      <c r="D22" s="24" t="s">
        <v>159</v>
      </c>
      <c r="E22" s="17">
        <v>24.54</v>
      </c>
      <c r="F22" s="17">
        <v>25.14</v>
      </c>
      <c r="G22" s="17">
        <f t="shared" ref="G22:G24" si="9">E22+F22</f>
        <v>49.68</v>
      </c>
      <c r="H22" s="27">
        <v>8</v>
      </c>
      <c r="I22" s="27">
        <v>9</v>
      </c>
      <c r="J22" s="27">
        <v>9</v>
      </c>
      <c r="K22" s="32">
        <v>30</v>
      </c>
      <c r="L22" s="27">
        <v>25</v>
      </c>
      <c r="M22" s="27">
        <v>26</v>
      </c>
      <c r="N22" s="28">
        <v>4.5</v>
      </c>
      <c r="O22" s="28">
        <v>133</v>
      </c>
      <c r="P22" s="28">
        <v>112.5</v>
      </c>
      <c r="Q22" s="28">
        <f>M22*N22</f>
        <v>117</v>
      </c>
      <c r="R22" s="27">
        <v>93</v>
      </c>
      <c r="S22" s="13" t="s">
        <v>36</v>
      </c>
      <c r="T22" s="21" t="s">
        <v>54</v>
      </c>
      <c r="U22" s="23" t="s">
        <v>98</v>
      </c>
      <c r="V22" s="21" t="s">
        <v>47</v>
      </c>
      <c r="W22" s="37">
        <f>24.54-2+1.2</f>
        <v>23.74</v>
      </c>
      <c r="X22" s="37">
        <f>25.14-2+1.2</f>
        <v>24.34</v>
      </c>
      <c r="Y22" s="37">
        <f t="shared" ref="Y22:Y28" si="10">W22+X22</f>
        <v>48.08</v>
      </c>
      <c r="Z22" s="27">
        <v>8</v>
      </c>
      <c r="AA22" s="27">
        <v>9</v>
      </c>
      <c r="AB22" s="27">
        <v>9</v>
      </c>
      <c r="AC22" s="32">
        <v>30</v>
      </c>
      <c r="AD22" s="27">
        <v>25</v>
      </c>
      <c r="AE22" s="27">
        <v>26</v>
      </c>
      <c r="AF22" s="28">
        <v>4.5</v>
      </c>
      <c r="AG22" s="28">
        <v>133</v>
      </c>
      <c r="AH22" s="28">
        <v>112.5</v>
      </c>
      <c r="AI22" s="28">
        <f>AE22*AF22</f>
        <v>117</v>
      </c>
      <c r="AJ22" s="27">
        <v>93</v>
      </c>
      <c r="AK22" s="13" t="s">
        <v>36</v>
      </c>
      <c r="AL22" s="20" t="s">
        <v>72</v>
      </c>
    </row>
    <row r="23" spans="1:38" s="1" customFormat="1" ht="70.5" customHeight="1">
      <c r="A23" s="26">
        <v>313</v>
      </c>
      <c r="B23" s="24" t="s">
        <v>160</v>
      </c>
      <c r="C23" s="25" t="s">
        <v>161</v>
      </c>
      <c r="D23" s="24" t="s">
        <v>6</v>
      </c>
      <c r="E23" s="17">
        <v>16.73</v>
      </c>
      <c r="F23" s="17">
        <v>15.25</v>
      </c>
      <c r="G23" s="17">
        <f t="shared" si="9"/>
        <v>31.98</v>
      </c>
      <c r="H23" s="27">
        <v>25</v>
      </c>
      <c r="I23" s="27">
        <v>32</v>
      </c>
      <c r="J23" s="27">
        <v>27</v>
      </c>
      <c r="K23" s="28">
        <v>7</v>
      </c>
      <c r="L23" s="27">
        <v>5</v>
      </c>
      <c r="M23" s="27">
        <v>6</v>
      </c>
      <c r="N23" s="28">
        <v>6.3</v>
      </c>
      <c r="O23" s="28">
        <f>6.5*N23</f>
        <v>40.949999999999996</v>
      </c>
      <c r="P23" s="28">
        <v>31.5</v>
      </c>
      <c r="Q23" s="28">
        <v>37.5</v>
      </c>
      <c r="R23" s="27">
        <v>62</v>
      </c>
      <c r="S23" s="13" t="s">
        <v>162</v>
      </c>
      <c r="T23" s="21" t="s">
        <v>55</v>
      </c>
      <c r="U23" s="23" t="s">
        <v>99</v>
      </c>
      <c r="V23" s="21" t="s">
        <v>6</v>
      </c>
      <c r="W23" s="37">
        <f>16.73-2+1.2</f>
        <v>15.93</v>
      </c>
      <c r="X23" s="37">
        <f>15.25-2+1.2</f>
        <v>14.45</v>
      </c>
      <c r="Y23" s="37">
        <f t="shared" si="10"/>
        <v>30.38</v>
      </c>
      <c r="Z23" s="27">
        <v>25</v>
      </c>
      <c r="AA23" s="27">
        <v>32</v>
      </c>
      <c r="AB23" s="27">
        <v>27</v>
      </c>
      <c r="AC23" s="28">
        <v>7</v>
      </c>
      <c r="AD23" s="27">
        <v>5</v>
      </c>
      <c r="AE23" s="27">
        <v>6</v>
      </c>
      <c r="AF23" s="28">
        <v>6.3</v>
      </c>
      <c r="AG23" s="28">
        <f>6.5*AF23</f>
        <v>40.949999999999996</v>
      </c>
      <c r="AH23" s="28">
        <v>31.5</v>
      </c>
      <c r="AI23" s="28">
        <v>37.5</v>
      </c>
      <c r="AJ23" s="27">
        <v>62</v>
      </c>
      <c r="AK23" s="13" t="s">
        <v>162</v>
      </c>
      <c r="AL23" s="20" t="s">
        <v>72</v>
      </c>
    </row>
    <row r="24" spans="1:38" s="1" customFormat="1" ht="81" customHeight="1">
      <c r="A24" s="24">
        <v>317</v>
      </c>
      <c r="B24" s="24" t="s">
        <v>163</v>
      </c>
      <c r="C24" s="25" t="s">
        <v>164</v>
      </c>
      <c r="D24" s="24" t="s">
        <v>41</v>
      </c>
      <c r="E24" s="17">
        <f>16.17+0.17</f>
        <v>16.340000000000003</v>
      </c>
      <c r="F24" s="17">
        <v>15.73</v>
      </c>
      <c r="G24" s="17">
        <f t="shared" si="9"/>
        <v>32.070000000000007</v>
      </c>
      <c r="H24" s="27">
        <v>27</v>
      </c>
      <c r="I24" s="27">
        <v>35</v>
      </c>
      <c r="J24" s="27">
        <v>35</v>
      </c>
      <c r="K24" s="28">
        <v>8</v>
      </c>
      <c r="L24" s="30">
        <v>6</v>
      </c>
      <c r="M24" s="30">
        <v>6</v>
      </c>
      <c r="N24" s="28">
        <v>4.8</v>
      </c>
      <c r="O24" s="28">
        <v>38</v>
      </c>
      <c r="P24" s="28">
        <v>28.5</v>
      </c>
      <c r="Q24" s="28">
        <v>28.5</v>
      </c>
      <c r="R24" s="27">
        <v>86</v>
      </c>
      <c r="S24" s="14" t="s">
        <v>84</v>
      </c>
      <c r="T24" s="21" t="s">
        <v>56</v>
      </c>
      <c r="U24" s="23" t="s">
        <v>100</v>
      </c>
      <c r="V24" s="21" t="s">
        <v>41</v>
      </c>
      <c r="W24" s="17">
        <v>16.34</v>
      </c>
      <c r="X24" s="17">
        <v>15.73</v>
      </c>
      <c r="Y24" s="17">
        <f t="shared" si="10"/>
        <v>32.07</v>
      </c>
      <c r="Z24" s="27">
        <v>27</v>
      </c>
      <c r="AA24" s="27">
        <v>35</v>
      </c>
      <c r="AB24" s="27">
        <v>35</v>
      </c>
      <c r="AC24" s="28">
        <v>8</v>
      </c>
      <c r="AD24" s="30">
        <v>6</v>
      </c>
      <c r="AE24" s="30">
        <v>6</v>
      </c>
      <c r="AF24" s="28">
        <v>4.8</v>
      </c>
      <c r="AG24" s="28">
        <v>38</v>
      </c>
      <c r="AH24" s="28">
        <v>28.5</v>
      </c>
      <c r="AI24" s="28">
        <v>28.5</v>
      </c>
      <c r="AJ24" s="27">
        <v>86</v>
      </c>
      <c r="AK24" s="14" t="s">
        <v>84</v>
      </c>
      <c r="AL24" s="20" t="s">
        <v>72</v>
      </c>
    </row>
    <row r="25" spans="1:38" s="1" customFormat="1" ht="67.5">
      <c r="A25" s="24">
        <v>615</v>
      </c>
      <c r="B25" s="24" t="s">
        <v>9</v>
      </c>
      <c r="C25" s="25" t="s">
        <v>203</v>
      </c>
      <c r="D25" s="24" t="s">
        <v>165</v>
      </c>
      <c r="E25" s="17">
        <f>15.24-0.283+1.7</f>
        <v>16.657</v>
      </c>
      <c r="F25" s="17">
        <f>15.39-0.863+1.7</f>
        <v>16.227</v>
      </c>
      <c r="G25" s="17">
        <f>E25+F25</f>
        <v>32.884</v>
      </c>
      <c r="H25" s="27">
        <v>13</v>
      </c>
      <c r="I25" s="27">
        <v>15</v>
      </c>
      <c r="J25" s="27">
        <v>15</v>
      </c>
      <c r="K25" s="28">
        <v>14</v>
      </c>
      <c r="L25" s="27">
        <v>12</v>
      </c>
      <c r="M25" s="27">
        <v>12</v>
      </c>
      <c r="N25" s="28">
        <v>5.5</v>
      </c>
      <c r="O25" s="28">
        <v>75.5</v>
      </c>
      <c r="P25" s="28">
        <v>66</v>
      </c>
      <c r="Q25" s="28">
        <v>66</v>
      </c>
      <c r="R25" s="27">
        <v>72</v>
      </c>
      <c r="S25" s="31" t="s">
        <v>166</v>
      </c>
      <c r="T25" s="21" t="s">
        <v>9</v>
      </c>
      <c r="U25" s="23" t="s">
        <v>101</v>
      </c>
      <c r="V25" s="21" t="s">
        <v>57</v>
      </c>
      <c r="W25" s="17">
        <v>16.66</v>
      </c>
      <c r="X25" s="17">
        <v>16.23</v>
      </c>
      <c r="Y25" s="17">
        <f>W25+X25</f>
        <v>32.89</v>
      </c>
      <c r="Z25" s="27">
        <v>13</v>
      </c>
      <c r="AA25" s="27">
        <v>15</v>
      </c>
      <c r="AB25" s="27">
        <v>15</v>
      </c>
      <c r="AC25" s="28">
        <v>14</v>
      </c>
      <c r="AD25" s="27">
        <v>12</v>
      </c>
      <c r="AE25" s="27">
        <v>12</v>
      </c>
      <c r="AF25" s="28">
        <v>5.5</v>
      </c>
      <c r="AG25" s="28">
        <v>75.5</v>
      </c>
      <c r="AH25" s="28">
        <v>66</v>
      </c>
      <c r="AI25" s="28">
        <v>66</v>
      </c>
      <c r="AJ25" s="27">
        <v>72</v>
      </c>
      <c r="AK25" s="31" t="s">
        <v>166</v>
      </c>
      <c r="AL25" s="20" t="s">
        <v>72</v>
      </c>
    </row>
    <row r="26" spans="1:38" s="1" customFormat="1" ht="90">
      <c r="A26" s="24">
        <v>511</v>
      </c>
      <c r="B26" s="24" t="s">
        <v>7</v>
      </c>
      <c r="C26" s="25" t="s">
        <v>167</v>
      </c>
      <c r="D26" s="26" t="s">
        <v>168</v>
      </c>
      <c r="E26" s="17">
        <f>14.66+0.39</f>
        <v>15.05</v>
      </c>
      <c r="F26" s="17">
        <f>13.66+0.38</f>
        <v>14.040000000000001</v>
      </c>
      <c r="G26" s="17">
        <f t="shared" ref="G26:G27" si="11">E26+F26</f>
        <v>29.090000000000003</v>
      </c>
      <c r="H26" s="27">
        <v>13</v>
      </c>
      <c r="I26" s="27">
        <v>13</v>
      </c>
      <c r="J26" s="27">
        <v>13</v>
      </c>
      <c r="K26" s="28">
        <v>12</v>
      </c>
      <c r="L26" s="27">
        <v>12</v>
      </c>
      <c r="M26" s="27">
        <v>12</v>
      </c>
      <c r="N26" s="28">
        <v>6.9</v>
      </c>
      <c r="O26" s="28">
        <v>82.5</v>
      </c>
      <c r="P26" s="28">
        <v>82.5</v>
      </c>
      <c r="Q26" s="28">
        <v>82.5</v>
      </c>
      <c r="R26" s="27">
        <v>56</v>
      </c>
      <c r="S26" s="13" t="s">
        <v>59</v>
      </c>
      <c r="T26" s="21" t="s">
        <v>7</v>
      </c>
      <c r="U26" s="23" t="s">
        <v>195</v>
      </c>
      <c r="V26" s="22" t="s">
        <v>58</v>
      </c>
      <c r="W26" s="17">
        <v>15.05</v>
      </c>
      <c r="X26" s="17">
        <v>14.04</v>
      </c>
      <c r="Y26" s="17">
        <f t="shared" si="10"/>
        <v>29.09</v>
      </c>
      <c r="Z26" s="27">
        <v>13</v>
      </c>
      <c r="AA26" s="27">
        <v>13</v>
      </c>
      <c r="AB26" s="27">
        <v>13</v>
      </c>
      <c r="AC26" s="28">
        <v>12</v>
      </c>
      <c r="AD26" s="27">
        <v>12</v>
      </c>
      <c r="AE26" s="27">
        <v>12</v>
      </c>
      <c r="AF26" s="28">
        <v>6.9</v>
      </c>
      <c r="AG26" s="28">
        <v>82.5</v>
      </c>
      <c r="AH26" s="28">
        <v>82.5</v>
      </c>
      <c r="AI26" s="28">
        <v>82.5</v>
      </c>
      <c r="AJ26" s="27">
        <v>56</v>
      </c>
      <c r="AK26" s="13" t="s">
        <v>59</v>
      </c>
      <c r="AL26" s="20" t="s">
        <v>72</v>
      </c>
    </row>
    <row r="27" spans="1:38" s="1" customFormat="1" ht="78.75">
      <c r="A27" s="24">
        <v>514</v>
      </c>
      <c r="B27" s="24" t="s">
        <v>7</v>
      </c>
      <c r="C27" s="25" t="s">
        <v>169</v>
      </c>
      <c r="D27" s="26" t="s">
        <v>170</v>
      </c>
      <c r="E27" s="17">
        <v>23.11</v>
      </c>
      <c r="F27" s="17">
        <v>22.79</v>
      </c>
      <c r="G27" s="17">
        <f t="shared" si="11"/>
        <v>45.9</v>
      </c>
      <c r="H27" s="27">
        <v>16</v>
      </c>
      <c r="I27" s="27">
        <v>21</v>
      </c>
      <c r="J27" s="27">
        <v>21</v>
      </c>
      <c r="K27" s="32">
        <v>14</v>
      </c>
      <c r="L27" s="27">
        <v>10</v>
      </c>
      <c r="M27" s="27">
        <v>10</v>
      </c>
      <c r="N27" s="28">
        <v>4.5</v>
      </c>
      <c r="O27" s="28">
        <f>N27*K27</f>
        <v>63</v>
      </c>
      <c r="P27" s="28">
        <f>L27*N27</f>
        <v>45</v>
      </c>
      <c r="Q27" s="28">
        <f>M27*N27</f>
        <v>45</v>
      </c>
      <c r="R27" s="27">
        <v>94</v>
      </c>
      <c r="S27" s="14" t="s">
        <v>162</v>
      </c>
      <c r="T27" s="21" t="s">
        <v>7</v>
      </c>
      <c r="U27" s="23" t="s">
        <v>88</v>
      </c>
      <c r="V27" s="22" t="s">
        <v>60</v>
      </c>
      <c r="W27" s="37">
        <f>23.11-1.45+1.82</f>
        <v>23.48</v>
      </c>
      <c r="X27" s="37">
        <f>22.79-1.45+1.82</f>
        <v>23.16</v>
      </c>
      <c r="Y27" s="37">
        <f t="shared" si="10"/>
        <v>46.64</v>
      </c>
      <c r="Z27" s="27">
        <v>16</v>
      </c>
      <c r="AA27" s="27">
        <v>21</v>
      </c>
      <c r="AB27" s="27">
        <v>21</v>
      </c>
      <c r="AC27" s="32">
        <v>14</v>
      </c>
      <c r="AD27" s="27">
        <v>10</v>
      </c>
      <c r="AE27" s="27">
        <v>10</v>
      </c>
      <c r="AF27" s="28">
        <v>4.5</v>
      </c>
      <c r="AG27" s="28">
        <f>AF27*AC27</f>
        <v>63</v>
      </c>
      <c r="AH27" s="28">
        <f>AD27*AF27</f>
        <v>45</v>
      </c>
      <c r="AI27" s="28">
        <f>AE27*AF27</f>
        <v>45</v>
      </c>
      <c r="AJ27" s="27">
        <v>94</v>
      </c>
      <c r="AK27" s="14" t="s">
        <v>162</v>
      </c>
      <c r="AL27" s="20" t="s">
        <v>72</v>
      </c>
    </row>
    <row r="28" spans="1:38" s="1" customFormat="1" ht="56.25">
      <c r="A28" s="24">
        <v>603</v>
      </c>
      <c r="B28" s="24" t="s">
        <v>171</v>
      </c>
      <c r="C28" s="25" t="s">
        <v>172</v>
      </c>
      <c r="D28" s="26" t="s">
        <v>173</v>
      </c>
      <c r="E28" s="17">
        <v>20.95</v>
      </c>
      <c r="F28" s="17">
        <v>21.94</v>
      </c>
      <c r="G28" s="17">
        <f>E28+F28</f>
        <v>42.89</v>
      </c>
      <c r="H28" s="27">
        <v>13</v>
      </c>
      <c r="I28" s="27">
        <v>18</v>
      </c>
      <c r="J28" s="27">
        <v>17</v>
      </c>
      <c r="K28" s="28">
        <v>17</v>
      </c>
      <c r="L28" s="27">
        <v>12</v>
      </c>
      <c r="M28" s="27">
        <v>13</v>
      </c>
      <c r="N28" s="28">
        <v>4.5999999999999996</v>
      </c>
      <c r="O28" s="28">
        <v>75.5</v>
      </c>
      <c r="P28" s="28">
        <v>55</v>
      </c>
      <c r="Q28" s="28">
        <v>59.5</v>
      </c>
      <c r="R28" s="27">
        <v>90</v>
      </c>
      <c r="S28" s="13" t="s">
        <v>154</v>
      </c>
      <c r="T28" s="21" t="s">
        <v>61</v>
      </c>
      <c r="U28" s="23" t="s">
        <v>102</v>
      </c>
      <c r="V28" s="22" t="s">
        <v>62</v>
      </c>
      <c r="W28" s="17">
        <v>20.95</v>
      </c>
      <c r="X28" s="17">
        <v>21.94</v>
      </c>
      <c r="Y28" s="17">
        <f t="shared" si="10"/>
        <v>42.89</v>
      </c>
      <c r="Z28" s="27">
        <v>13</v>
      </c>
      <c r="AA28" s="27">
        <v>18</v>
      </c>
      <c r="AB28" s="27">
        <v>17</v>
      </c>
      <c r="AC28" s="28">
        <v>17</v>
      </c>
      <c r="AD28" s="27">
        <v>12</v>
      </c>
      <c r="AE28" s="27">
        <v>13</v>
      </c>
      <c r="AF28" s="28">
        <v>4.5999999999999996</v>
      </c>
      <c r="AG28" s="28">
        <v>75.5</v>
      </c>
      <c r="AH28" s="28">
        <v>55</v>
      </c>
      <c r="AI28" s="28">
        <v>59.5</v>
      </c>
      <c r="AJ28" s="27">
        <v>90</v>
      </c>
      <c r="AK28" s="13" t="s">
        <v>154</v>
      </c>
      <c r="AL28" s="20" t="s">
        <v>72</v>
      </c>
    </row>
    <row r="29" spans="1:38" s="1" customFormat="1" ht="101.25">
      <c r="A29" s="24">
        <v>604</v>
      </c>
      <c r="B29" s="22" t="s">
        <v>174</v>
      </c>
      <c r="C29" s="25" t="s">
        <v>175</v>
      </c>
      <c r="D29" s="22" t="s">
        <v>176</v>
      </c>
      <c r="E29" s="17">
        <v>22.7</v>
      </c>
      <c r="F29" s="17">
        <v>23.46</v>
      </c>
      <c r="G29" s="17">
        <f>F29+E29</f>
        <v>46.16</v>
      </c>
      <c r="H29" s="27">
        <v>12</v>
      </c>
      <c r="I29" s="27">
        <v>14</v>
      </c>
      <c r="J29" s="27">
        <v>14</v>
      </c>
      <c r="K29" s="28">
        <v>18</v>
      </c>
      <c r="L29" s="27">
        <v>15</v>
      </c>
      <c r="M29" s="27">
        <v>15</v>
      </c>
      <c r="N29" s="28">
        <v>5</v>
      </c>
      <c r="O29" s="28">
        <v>85</v>
      </c>
      <c r="P29" s="28">
        <v>72</v>
      </c>
      <c r="Q29" s="28">
        <v>72</v>
      </c>
      <c r="R29" s="27">
        <v>81</v>
      </c>
      <c r="S29" s="13" t="s">
        <v>43</v>
      </c>
      <c r="T29" s="22" t="s">
        <v>63</v>
      </c>
      <c r="U29" s="23" t="s">
        <v>103</v>
      </c>
      <c r="V29" s="22" t="s">
        <v>64</v>
      </c>
      <c r="W29" s="37">
        <f>22.7-1.3+1.82</f>
        <v>23.22</v>
      </c>
      <c r="X29" s="37">
        <f>23.46-1.3+1.82</f>
        <v>23.98</v>
      </c>
      <c r="Y29" s="37">
        <f>X29+W29</f>
        <v>47.2</v>
      </c>
      <c r="Z29" s="27">
        <v>12</v>
      </c>
      <c r="AA29" s="27">
        <v>14</v>
      </c>
      <c r="AB29" s="27">
        <v>14</v>
      </c>
      <c r="AC29" s="28">
        <v>18</v>
      </c>
      <c r="AD29" s="27">
        <v>15</v>
      </c>
      <c r="AE29" s="27">
        <v>15</v>
      </c>
      <c r="AF29" s="28">
        <v>5</v>
      </c>
      <c r="AG29" s="28">
        <v>85</v>
      </c>
      <c r="AH29" s="28">
        <v>72</v>
      </c>
      <c r="AI29" s="28">
        <v>72</v>
      </c>
      <c r="AJ29" s="27">
        <v>81</v>
      </c>
      <c r="AK29" s="13" t="s">
        <v>43</v>
      </c>
      <c r="AL29" s="20" t="s">
        <v>72</v>
      </c>
    </row>
    <row r="30" spans="1:38" s="1" customFormat="1" ht="56.25">
      <c r="A30" s="24">
        <v>612</v>
      </c>
      <c r="B30" s="26" t="s">
        <v>177</v>
      </c>
      <c r="C30" s="25" t="s">
        <v>178</v>
      </c>
      <c r="D30" s="24" t="s">
        <v>179</v>
      </c>
      <c r="E30" s="17">
        <v>19.23</v>
      </c>
      <c r="F30" s="17">
        <v>18.93</v>
      </c>
      <c r="G30" s="17">
        <f>E30+F30</f>
        <v>38.159999999999997</v>
      </c>
      <c r="H30" s="27">
        <v>20</v>
      </c>
      <c r="I30" s="27">
        <v>25</v>
      </c>
      <c r="J30" s="27">
        <v>25</v>
      </c>
      <c r="K30" s="28">
        <v>10</v>
      </c>
      <c r="L30" s="27">
        <v>8</v>
      </c>
      <c r="M30" s="27">
        <v>8</v>
      </c>
      <c r="N30" s="28">
        <v>5</v>
      </c>
      <c r="O30" s="28">
        <f>N30*K30</f>
        <v>50</v>
      </c>
      <c r="P30" s="28">
        <f>L30*N30</f>
        <v>40</v>
      </c>
      <c r="Q30" s="28">
        <f>M30*N30</f>
        <v>40</v>
      </c>
      <c r="R30" s="27">
        <v>79</v>
      </c>
      <c r="S30" s="14" t="s">
        <v>180</v>
      </c>
      <c r="T30" s="22" t="s">
        <v>65</v>
      </c>
      <c r="U30" s="23" t="s">
        <v>104</v>
      </c>
      <c r="V30" s="21" t="s">
        <v>66</v>
      </c>
      <c r="W30" s="37">
        <f>19.23-1.72+0.7</f>
        <v>18.21</v>
      </c>
      <c r="X30" s="37">
        <f>18.93-1.72+0.7</f>
        <v>17.91</v>
      </c>
      <c r="Y30" s="37">
        <f>W30+X30</f>
        <v>36.120000000000005</v>
      </c>
      <c r="Z30" s="27">
        <v>20</v>
      </c>
      <c r="AA30" s="27">
        <v>25</v>
      </c>
      <c r="AB30" s="27">
        <v>25</v>
      </c>
      <c r="AC30" s="28">
        <v>10</v>
      </c>
      <c r="AD30" s="27">
        <v>8</v>
      </c>
      <c r="AE30" s="27">
        <v>8</v>
      </c>
      <c r="AF30" s="28">
        <v>5</v>
      </c>
      <c r="AG30" s="28">
        <f>AF30*AC30</f>
        <v>50</v>
      </c>
      <c r="AH30" s="28">
        <f>AD30*AF30</f>
        <v>40</v>
      </c>
      <c r="AI30" s="28">
        <f>AE30*AF30</f>
        <v>40</v>
      </c>
      <c r="AJ30" s="27">
        <v>79</v>
      </c>
      <c r="AK30" s="14" t="s">
        <v>180</v>
      </c>
      <c r="AL30" s="20" t="s">
        <v>72</v>
      </c>
    </row>
    <row r="31" spans="1:38" s="1" customFormat="1" ht="78.75">
      <c r="A31" s="24">
        <v>701</v>
      </c>
      <c r="B31" s="24" t="s">
        <v>181</v>
      </c>
      <c r="C31" s="25" t="s">
        <v>182</v>
      </c>
      <c r="D31" s="26" t="s">
        <v>85</v>
      </c>
      <c r="E31" s="17">
        <v>24.56</v>
      </c>
      <c r="F31" s="17">
        <v>24.87</v>
      </c>
      <c r="G31" s="17">
        <f t="shared" ref="G31" si="12">E31+F31</f>
        <v>49.43</v>
      </c>
      <c r="H31" s="27">
        <v>18</v>
      </c>
      <c r="I31" s="27">
        <v>27</v>
      </c>
      <c r="J31" s="27">
        <v>23</v>
      </c>
      <c r="K31" s="28">
        <v>12</v>
      </c>
      <c r="L31" s="27">
        <v>8</v>
      </c>
      <c r="M31" s="27">
        <v>9</v>
      </c>
      <c r="N31" s="28">
        <v>4.8</v>
      </c>
      <c r="O31" s="28">
        <v>56.5</v>
      </c>
      <c r="P31" s="28">
        <v>38</v>
      </c>
      <c r="Q31" s="28">
        <v>43</v>
      </c>
      <c r="R31" s="27">
        <v>84</v>
      </c>
      <c r="S31" s="13" t="s">
        <v>183</v>
      </c>
      <c r="T31" s="21" t="s">
        <v>67</v>
      </c>
      <c r="U31" s="23" t="s">
        <v>105</v>
      </c>
      <c r="V31" s="22" t="s">
        <v>68</v>
      </c>
      <c r="W31" s="37">
        <f>24.56-1.7+2.56</f>
        <v>25.419999999999998</v>
      </c>
      <c r="X31" s="17">
        <v>24.87</v>
      </c>
      <c r="Y31" s="37">
        <f t="shared" ref="Y31:Y34" si="13">W31+X31</f>
        <v>50.29</v>
      </c>
      <c r="Z31" s="27">
        <v>18</v>
      </c>
      <c r="AA31" s="27">
        <v>27</v>
      </c>
      <c r="AB31" s="27">
        <v>23</v>
      </c>
      <c r="AC31" s="28">
        <v>12</v>
      </c>
      <c r="AD31" s="27">
        <v>8</v>
      </c>
      <c r="AE31" s="27">
        <v>9</v>
      </c>
      <c r="AF31" s="28">
        <v>4.8</v>
      </c>
      <c r="AG31" s="28">
        <v>56.5</v>
      </c>
      <c r="AH31" s="28">
        <v>38</v>
      </c>
      <c r="AI31" s="28">
        <v>43</v>
      </c>
      <c r="AJ31" s="27">
        <v>84</v>
      </c>
      <c r="AK31" s="13" t="s">
        <v>183</v>
      </c>
      <c r="AL31" s="20" t="s">
        <v>72</v>
      </c>
    </row>
    <row r="32" spans="1:38" s="1" customFormat="1" ht="90">
      <c r="A32" s="24">
        <v>711</v>
      </c>
      <c r="B32" s="24" t="s">
        <v>2</v>
      </c>
      <c r="C32" s="25" t="s">
        <v>184</v>
      </c>
      <c r="D32" s="24" t="s">
        <v>5</v>
      </c>
      <c r="E32" s="17">
        <v>22.73</v>
      </c>
      <c r="F32" s="17">
        <v>22.04</v>
      </c>
      <c r="G32" s="17">
        <f>E32+F32</f>
        <v>44.769999999999996</v>
      </c>
      <c r="H32" s="27">
        <v>17</v>
      </c>
      <c r="I32" s="27">
        <v>25</v>
      </c>
      <c r="J32" s="27">
        <v>22</v>
      </c>
      <c r="K32" s="28">
        <v>12</v>
      </c>
      <c r="L32" s="27">
        <v>8</v>
      </c>
      <c r="M32" s="27">
        <v>9</v>
      </c>
      <c r="N32" s="28">
        <v>5</v>
      </c>
      <c r="O32" s="28">
        <v>59</v>
      </c>
      <c r="P32" s="28">
        <v>40</v>
      </c>
      <c r="Q32" s="28">
        <f>M32*N32</f>
        <v>45</v>
      </c>
      <c r="R32" s="27">
        <v>81</v>
      </c>
      <c r="S32" s="14" t="s">
        <v>185</v>
      </c>
      <c r="T32" s="21" t="s">
        <v>2</v>
      </c>
      <c r="U32" s="23" t="s">
        <v>106</v>
      </c>
      <c r="V32" s="21" t="s">
        <v>5</v>
      </c>
      <c r="W32" s="37">
        <f>22.73-1.87+0.54</f>
        <v>21.4</v>
      </c>
      <c r="X32" s="37">
        <f>22.04-1.87+0.54</f>
        <v>20.709999999999997</v>
      </c>
      <c r="Y32" s="37">
        <f t="shared" si="13"/>
        <v>42.11</v>
      </c>
      <c r="Z32" s="27">
        <v>17</v>
      </c>
      <c r="AA32" s="27">
        <v>25</v>
      </c>
      <c r="AB32" s="27">
        <v>22</v>
      </c>
      <c r="AC32" s="28">
        <v>12</v>
      </c>
      <c r="AD32" s="27">
        <v>8</v>
      </c>
      <c r="AE32" s="27">
        <v>9</v>
      </c>
      <c r="AF32" s="28">
        <v>5</v>
      </c>
      <c r="AG32" s="28">
        <v>59</v>
      </c>
      <c r="AH32" s="28">
        <v>40</v>
      </c>
      <c r="AI32" s="28">
        <f>AE32*AF32</f>
        <v>45</v>
      </c>
      <c r="AJ32" s="27">
        <v>81</v>
      </c>
      <c r="AK32" s="14" t="s">
        <v>185</v>
      </c>
      <c r="AL32" s="20" t="s">
        <v>72</v>
      </c>
    </row>
    <row r="33" spans="1:38" s="1" customFormat="1" ht="90">
      <c r="A33" s="24">
        <v>802</v>
      </c>
      <c r="B33" s="24" t="s">
        <v>10</v>
      </c>
      <c r="C33" s="25" t="s">
        <v>186</v>
      </c>
      <c r="D33" s="24" t="s">
        <v>187</v>
      </c>
      <c r="E33" s="17">
        <f>24.58-0.11+0.18</f>
        <v>24.65</v>
      </c>
      <c r="F33" s="17">
        <f>24.83-0.11+0.18</f>
        <v>24.9</v>
      </c>
      <c r="G33" s="17">
        <f t="shared" ref="G33" si="14">E33+F33</f>
        <v>49.55</v>
      </c>
      <c r="H33" s="27">
        <v>18</v>
      </c>
      <c r="I33" s="27">
        <v>23</v>
      </c>
      <c r="J33" s="27">
        <v>23</v>
      </c>
      <c r="K33" s="27">
        <v>14</v>
      </c>
      <c r="L33" s="27">
        <v>10</v>
      </c>
      <c r="M33" s="27">
        <v>11</v>
      </c>
      <c r="N33" s="28">
        <v>4.4000000000000004</v>
      </c>
      <c r="O33" s="28">
        <v>59</v>
      </c>
      <c r="P33" s="28">
        <f>N33*L33</f>
        <v>44</v>
      </c>
      <c r="Q33" s="28">
        <v>48</v>
      </c>
      <c r="R33" s="27">
        <v>96</v>
      </c>
      <c r="S33" s="14" t="s">
        <v>80</v>
      </c>
      <c r="T33" s="21" t="s">
        <v>10</v>
      </c>
      <c r="U33" s="23" t="s">
        <v>107</v>
      </c>
      <c r="V33" s="21" t="s">
        <v>69</v>
      </c>
      <c r="W33" s="37">
        <f>24.65-1.87+0.54</f>
        <v>23.319999999999997</v>
      </c>
      <c r="X33" s="37">
        <f>24.9-1.87+0.54</f>
        <v>23.569999999999997</v>
      </c>
      <c r="Y33" s="37">
        <f t="shared" si="13"/>
        <v>46.889999999999993</v>
      </c>
      <c r="Z33" s="27">
        <v>18</v>
      </c>
      <c r="AA33" s="27">
        <v>23</v>
      </c>
      <c r="AB33" s="27">
        <v>23</v>
      </c>
      <c r="AC33" s="27">
        <v>14</v>
      </c>
      <c r="AD33" s="27">
        <v>10</v>
      </c>
      <c r="AE33" s="27">
        <v>11</v>
      </c>
      <c r="AF33" s="28">
        <v>4.4000000000000004</v>
      </c>
      <c r="AG33" s="28">
        <v>59</v>
      </c>
      <c r="AH33" s="28">
        <f>AF33*AD33</f>
        <v>44</v>
      </c>
      <c r="AI33" s="28">
        <v>48</v>
      </c>
      <c r="AJ33" s="27">
        <v>96</v>
      </c>
      <c r="AK33" s="14" t="s">
        <v>80</v>
      </c>
      <c r="AL33" s="20" t="s">
        <v>72</v>
      </c>
    </row>
    <row r="34" spans="1:38" s="1" customFormat="1" ht="67.5" customHeight="1">
      <c r="A34" s="21">
        <v>31</v>
      </c>
      <c r="B34" s="21" t="s">
        <v>71</v>
      </c>
      <c r="C34" s="23" t="s">
        <v>86</v>
      </c>
      <c r="D34" s="21" t="s">
        <v>11</v>
      </c>
      <c r="E34" s="17">
        <v>27.83</v>
      </c>
      <c r="F34" s="17">
        <v>25.13</v>
      </c>
      <c r="G34" s="17">
        <f>E34+F34</f>
        <v>52.959999999999994</v>
      </c>
      <c r="H34" s="27">
        <v>200</v>
      </c>
      <c r="I34" s="27">
        <v>200</v>
      </c>
      <c r="J34" s="27">
        <v>200</v>
      </c>
      <c r="K34" s="28">
        <v>1</v>
      </c>
      <c r="L34" s="27">
        <v>1</v>
      </c>
      <c r="M34" s="27">
        <v>1</v>
      </c>
      <c r="N34" s="28">
        <v>5</v>
      </c>
      <c r="O34" s="28">
        <f t="shared" ref="O34" si="15">N34*K34</f>
        <v>5</v>
      </c>
      <c r="P34" s="28">
        <f t="shared" ref="P34" si="16">N34*L34</f>
        <v>5</v>
      </c>
      <c r="Q34" s="28">
        <f t="shared" ref="Q34" si="17">N34*M34</f>
        <v>5</v>
      </c>
      <c r="R34" s="27">
        <v>100</v>
      </c>
      <c r="S34" s="39" t="s">
        <v>83</v>
      </c>
      <c r="T34" s="21" t="s">
        <v>71</v>
      </c>
      <c r="U34" s="23" t="s">
        <v>108</v>
      </c>
      <c r="V34" s="29" t="s">
        <v>73</v>
      </c>
      <c r="W34" s="37">
        <f>27.83-1.62+0.65</f>
        <v>26.859999999999996</v>
      </c>
      <c r="X34" s="37">
        <f>25.13-0.25+0.57</f>
        <v>25.45</v>
      </c>
      <c r="Y34" s="37">
        <f t="shared" si="13"/>
        <v>52.309999999999995</v>
      </c>
      <c r="Z34" s="27">
        <v>200</v>
      </c>
      <c r="AA34" s="27">
        <v>200</v>
      </c>
      <c r="AB34" s="27">
        <v>200</v>
      </c>
      <c r="AC34" s="28">
        <v>1</v>
      </c>
      <c r="AD34" s="27">
        <v>1</v>
      </c>
      <c r="AE34" s="27">
        <v>1</v>
      </c>
      <c r="AF34" s="28">
        <v>5</v>
      </c>
      <c r="AG34" s="28">
        <f t="shared" ref="AG34" si="18">AF34*AC34</f>
        <v>5</v>
      </c>
      <c r="AH34" s="28">
        <f t="shared" ref="AH34" si="19">AF34*AD34</f>
        <v>5</v>
      </c>
      <c r="AI34" s="28">
        <f t="shared" ref="AI34" si="20">AF34*AE34</f>
        <v>5</v>
      </c>
      <c r="AJ34" s="27">
        <v>100</v>
      </c>
      <c r="AK34" s="39" t="s">
        <v>83</v>
      </c>
      <c r="AL34" s="20" t="s">
        <v>72</v>
      </c>
    </row>
    <row r="35" spans="1:38">
      <c r="A35" s="3">
        <f>COUNTA(A6:A34)</f>
        <v>29</v>
      </c>
      <c r="AC35" s="11">
        <f>SUM(AC6:AC34)</f>
        <v>356</v>
      </c>
      <c r="AD35" s="11">
        <f>SUM(AD6:AD34)</f>
        <v>283</v>
      </c>
      <c r="AE35" s="11">
        <f>SUM(AE6:AE34)</f>
        <v>301</v>
      </c>
    </row>
  </sheetData>
  <mergeCells count="24">
    <mergeCell ref="S4:S5"/>
    <mergeCell ref="T4:T5"/>
    <mergeCell ref="AJ4:AJ5"/>
    <mergeCell ref="V4:V5"/>
    <mergeCell ref="W4:Y4"/>
    <mergeCell ref="Z4:AB4"/>
    <mergeCell ref="AC4:AE4"/>
    <mergeCell ref="AF4:AF5"/>
    <mergeCell ref="AG4:AI4"/>
    <mergeCell ref="R4:R5"/>
    <mergeCell ref="T3:AK3"/>
    <mergeCell ref="AK4:AK5"/>
    <mergeCell ref="U4:U5"/>
    <mergeCell ref="A3:A5"/>
    <mergeCell ref="B3:S3"/>
    <mergeCell ref="AL3:AL5"/>
    <mergeCell ref="B4:B5"/>
    <mergeCell ref="C4:C5"/>
    <mergeCell ref="D4:D5"/>
    <mergeCell ref="E4:G4"/>
    <mergeCell ref="H4:J4"/>
    <mergeCell ref="K4:M4"/>
    <mergeCell ref="N4:N5"/>
    <mergeCell ref="O4:Q4"/>
  </mergeCells>
  <phoneticPr fontId="3" type="noConversion"/>
  <conditionalFormatting sqref="K8">
    <cfRule type="cellIs" dxfId="65" priority="66" stopIfTrue="1" operator="greaterThanOrEqual">
      <formula>611</formula>
    </cfRule>
  </conditionalFormatting>
  <conditionalFormatting sqref="K9">
    <cfRule type="cellIs" dxfId="64" priority="65" stopIfTrue="1" operator="greaterThanOrEqual">
      <formula>611</formula>
    </cfRule>
  </conditionalFormatting>
  <conditionalFormatting sqref="K10">
    <cfRule type="cellIs" dxfId="63" priority="64" stopIfTrue="1" operator="greaterThanOrEqual">
      <formula>611</formula>
    </cfRule>
  </conditionalFormatting>
  <conditionalFormatting sqref="K11">
    <cfRule type="cellIs" dxfId="62" priority="63" stopIfTrue="1" operator="greaterThanOrEqual">
      <formula>611</formula>
    </cfRule>
  </conditionalFormatting>
  <conditionalFormatting sqref="K14">
    <cfRule type="cellIs" dxfId="61" priority="62" stopIfTrue="1" operator="greaterThanOrEqual">
      <formula>611</formula>
    </cfRule>
  </conditionalFormatting>
  <conditionalFormatting sqref="K15">
    <cfRule type="cellIs" dxfId="60" priority="61" stopIfTrue="1" operator="greaterThanOrEqual">
      <formula>611</formula>
    </cfRule>
  </conditionalFormatting>
  <conditionalFormatting sqref="K16">
    <cfRule type="cellIs" dxfId="59" priority="60" stopIfTrue="1" operator="greaterThanOrEqual">
      <formula>611</formula>
    </cfRule>
  </conditionalFormatting>
  <conditionalFormatting sqref="K17">
    <cfRule type="cellIs" dxfId="58" priority="59" stopIfTrue="1" operator="greaterThanOrEqual">
      <formula>611</formula>
    </cfRule>
  </conditionalFormatting>
  <conditionalFormatting sqref="K17">
    <cfRule type="cellIs" dxfId="57" priority="57" stopIfTrue="1" operator="greaterThanOrEqual">
      <formula>611</formula>
    </cfRule>
  </conditionalFormatting>
  <conditionalFormatting sqref="K17">
    <cfRule type="cellIs" dxfId="56" priority="58" stopIfTrue="1" operator="greaterThanOrEqual">
      <formula>611</formula>
    </cfRule>
  </conditionalFormatting>
  <conditionalFormatting sqref="K18">
    <cfRule type="cellIs" dxfId="55" priority="56" stopIfTrue="1" operator="greaterThanOrEqual">
      <formula>611</formula>
    </cfRule>
  </conditionalFormatting>
  <conditionalFormatting sqref="K18">
    <cfRule type="cellIs" dxfId="54" priority="55" stopIfTrue="1" operator="greaterThanOrEqual">
      <formula>611</formula>
    </cfRule>
  </conditionalFormatting>
  <conditionalFormatting sqref="K19">
    <cfRule type="cellIs" dxfId="53" priority="52" stopIfTrue="1" operator="greaterThanOrEqual">
      <formula>611</formula>
    </cfRule>
  </conditionalFormatting>
  <conditionalFormatting sqref="K19">
    <cfRule type="cellIs" dxfId="52" priority="53" stopIfTrue="1" operator="greaterThanOrEqual">
      <formula>611</formula>
    </cfRule>
  </conditionalFormatting>
  <conditionalFormatting sqref="K19">
    <cfRule type="cellIs" dxfId="51" priority="54" stopIfTrue="1" operator="greaterThanOrEqual">
      <formula>611</formula>
    </cfRule>
  </conditionalFormatting>
  <conditionalFormatting sqref="K20">
    <cfRule type="cellIs" dxfId="50" priority="51" stopIfTrue="1" operator="greaterThanOrEqual">
      <formula>611</formula>
    </cfRule>
  </conditionalFormatting>
  <conditionalFormatting sqref="K21">
    <cfRule type="cellIs" dxfId="49" priority="50" stopIfTrue="1" operator="greaterThanOrEqual">
      <formula>611</formula>
    </cfRule>
  </conditionalFormatting>
  <conditionalFormatting sqref="K22">
    <cfRule type="cellIs" dxfId="48" priority="49" stopIfTrue="1" operator="greaterThanOrEqual">
      <formula>611</formula>
    </cfRule>
  </conditionalFormatting>
  <conditionalFormatting sqref="K23">
    <cfRule type="cellIs" dxfId="47" priority="47" stopIfTrue="1" operator="greaterThanOrEqual">
      <formula>611</formula>
    </cfRule>
  </conditionalFormatting>
  <conditionalFormatting sqref="K23">
    <cfRule type="cellIs" dxfId="46" priority="46" stopIfTrue="1" operator="greaterThanOrEqual">
      <formula>611</formula>
    </cfRule>
  </conditionalFormatting>
  <conditionalFormatting sqref="K23">
    <cfRule type="cellIs" dxfId="45" priority="48" stopIfTrue="1" operator="greaterThanOrEqual">
      <formula>611</formula>
    </cfRule>
  </conditionalFormatting>
  <conditionalFormatting sqref="K24">
    <cfRule type="cellIs" dxfId="44" priority="45" stopIfTrue="1" operator="greaterThanOrEqual">
      <formula>611</formula>
    </cfRule>
  </conditionalFormatting>
  <conditionalFormatting sqref="K25">
    <cfRule type="cellIs" dxfId="43" priority="42" stopIfTrue="1" operator="greaterThanOrEqual">
      <formula>611</formula>
    </cfRule>
  </conditionalFormatting>
  <conditionalFormatting sqref="K25">
    <cfRule type="cellIs" dxfId="42" priority="43" stopIfTrue="1" operator="greaterThanOrEqual">
      <formula>611</formula>
    </cfRule>
  </conditionalFormatting>
  <conditionalFormatting sqref="K25">
    <cfRule type="cellIs" dxfId="41" priority="44" stopIfTrue="1" operator="greaterThanOrEqual">
      <formula>611</formula>
    </cfRule>
  </conditionalFormatting>
  <conditionalFormatting sqref="K26">
    <cfRule type="cellIs" dxfId="40" priority="41" stopIfTrue="1" operator="greaterThanOrEqual">
      <formula>611</formula>
    </cfRule>
  </conditionalFormatting>
  <conditionalFormatting sqref="K27">
    <cfRule type="cellIs" dxfId="39" priority="40" stopIfTrue="1" operator="greaterThanOrEqual">
      <formula>611</formula>
    </cfRule>
  </conditionalFormatting>
  <conditionalFormatting sqref="K27">
    <cfRule type="cellIs" dxfId="38" priority="39" stopIfTrue="1" operator="greaterThanOrEqual">
      <formula>611</formula>
    </cfRule>
  </conditionalFormatting>
  <conditionalFormatting sqref="K28">
    <cfRule type="cellIs" dxfId="37" priority="38" stopIfTrue="1" operator="greaterThanOrEqual">
      <formula>611</formula>
    </cfRule>
  </conditionalFormatting>
  <conditionalFormatting sqref="K29">
    <cfRule type="cellIs" dxfId="36" priority="37" stopIfTrue="1" operator="greaterThanOrEqual">
      <formula>611</formula>
    </cfRule>
  </conditionalFormatting>
  <conditionalFormatting sqref="K30">
    <cfRule type="cellIs" dxfId="35" priority="36" stopIfTrue="1" operator="greaterThanOrEqual">
      <formula>611</formula>
    </cfRule>
  </conditionalFormatting>
  <conditionalFormatting sqref="K32">
    <cfRule type="cellIs" dxfId="34" priority="35" stopIfTrue="1" operator="greaterThanOrEqual">
      <formula>611</formula>
    </cfRule>
  </conditionalFormatting>
  <conditionalFormatting sqref="K33">
    <cfRule type="cellIs" dxfId="33" priority="34" stopIfTrue="1" operator="greaterThanOrEqual">
      <formula>611</formula>
    </cfRule>
  </conditionalFormatting>
  <conditionalFormatting sqref="AC8">
    <cfRule type="cellIs" dxfId="32" priority="33" stopIfTrue="1" operator="greaterThanOrEqual">
      <formula>611</formula>
    </cfRule>
  </conditionalFormatting>
  <conditionalFormatting sqref="AC9">
    <cfRule type="cellIs" dxfId="31" priority="32" stopIfTrue="1" operator="greaterThanOrEqual">
      <formula>611</formula>
    </cfRule>
  </conditionalFormatting>
  <conditionalFormatting sqref="AC10">
    <cfRule type="cellIs" dxfId="30" priority="31" stopIfTrue="1" operator="greaterThanOrEqual">
      <formula>611</formula>
    </cfRule>
  </conditionalFormatting>
  <conditionalFormatting sqref="AC11">
    <cfRule type="cellIs" dxfId="29" priority="30" stopIfTrue="1" operator="greaterThanOrEqual">
      <formula>611</formula>
    </cfRule>
  </conditionalFormatting>
  <conditionalFormatting sqref="AC14">
    <cfRule type="cellIs" dxfId="28" priority="29" stopIfTrue="1" operator="greaterThanOrEqual">
      <formula>611</formula>
    </cfRule>
  </conditionalFormatting>
  <conditionalFormatting sqref="AC15">
    <cfRule type="cellIs" dxfId="27" priority="28" stopIfTrue="1" operator="greaterThanOrEqual">
      <formula>611</formula>
    </cfRule>
  </conditionalFormatting>
  <conditionalFormatting sqref="AC16">
    <cfRule type="cellIs" dxfId="26" priority="27" stopIfTrue="1" operator="greaterThanOrEqual">
      <formula>611</formula>
    </cfRule>
  </conditionalFormatting>
  <conditionalFormatting sqref="AC17">
    <cfRule type="cellIs" dxfId="25" priority="26" stopIfTrue="1" operator="greaterThanOrEqual">
      <formula>611</formula>
    </cfRule>
  </conditionalFormatting>
  <conditionalFormatting sqref="AC17">
    <cfRule type="cellIs" dxfId="24" priority="24" stopIfTrue="1" operator="greaterThanOrEqual">
      <formula>611</formula>
    </cfRule>
  </conditionalFormatting>
  <conditionalFormatting sqref="AC17">
    <cfRule type="cellIs" dxfId="23" priority="25" stopIfTrue="1" operator="greaterThanOrEqual">
      <formula>611</formula>
    </cfRule>
  </conditionalFormatting>
  <conditionalFormatting sqref="AC18">
    <cfRule type="cellIs" dxfId="22" priority="23" stopIfTrue="1" operator="greaterThanOrEqual">
      <formula>611</formula>
    </cfRule>
  </conditionalFormatting>
  <conditionalFormatting sqref="AC18">
    <cfRule type="cellIs" dxfId="21" priority="22" stopIfTrue="1" operator="greaterThanOrEqual">
      <formula>611</formula>
    </cfRule>
  </conditionalFormatting>
  <conditionalFormatting sqref="AC19">
    <cfRule type="cellIs" dxfId="20" priority="19" stopIfTrue="1" operator="greaterThanOrEqual">
      <formula>611</formula>
    </cfRule>
  </conditionalFormatting>
  <conditionalFormatting sqref="AC19">
    <cfRule type="cellIs" dxfId="19" priority="20" stopIfTrue="1" operator="greaterThanOrEqual">
      <formula>611</formula>
    </cfRule>
  </conditionalFormatting>
  <conditionalFormatting sqref="AC19">
    <cfRule type="cellIs" dxfId="18" priority="21" stopIfTrue="1" operator="greaterThanOrEqual">
      <formula>611</formula>
    </cfRule>
  </conditionalFormatting>
  <conditionalFormatting sqref="AC20">
    <cfRule type="cellIs" dxfId="17" priority="18" stopIfTrue="1" operator="greaterThanOrEqual">
      <formula>611</formula>
    </cfRule>
  </conditionalFormatting>
  <conditionalFormatting sqref="AC21">
    <cfRule type="cellIs" dxfId="16" priority="17" stopIfTrue="1" operator="greaterThanOrEqual">
      <formula>611</formula>
    </cfRule>
  </conditionalFormatting>
  <conditionalFormatting sqref="AC22">
    <cfRule type="cellIs" dxfId="15" priority="16" stopIfTrue="1" operator="greaterThanOrEqual">
      <formula>611</formula>
    </cfRule>
  </conditionalFormatting>
  <conditionalFormatting sqref="AC23">
    <cfRule type="cellIs" dxfId="14" priority="14" stopIfTrue="1" operator="greaterThanOrEqual">
      <formula>611</formula>
    </cfRule>
  </conditionalFormatting>
  <conditionalFormatting sqref="AC23">
    <cfRule type="cellIs" dxfId="13" priority="13" stopIfTrue="1" operator="greaterThanOrEqual">
      <formula>611</formula>
    </cfRule>
  </conditionalFormatting>
  <conditionalFormatting sqref="AC23">
    <cfRule type="cellIs" dxfId="12" priority="15" stopIfTrue="1" operator="greaterThanOrEqual">
      <formula>611</formula>
    </cfRule>
  </conditionalFormatting>
  <conditionalFormatting sqref="AC24">
    <cfRule type="cellIs" dxfId="11" priority="12" stopIfTrue="1" operator="greaterThanOrEqual">
      <formula>611</formula>
    </cfRule>
  </conditionalFormatting>
  <conditionalFormatting sqref="AC25">
    <cfRule type="cellIs" dxfId="10" priority="9" stopIfTrue="1" operator="greaterThanOrEqual">
      <formula>611</formula>
    </cfRule>
  </conditionalFormatting>
  <conditionalFormatting sqref="AC25">
    <cfRule type="cellIs" dxfId="9" priority="10" stopIfTrue="1" operator="greaterThanOrEqual">
      <formula>611</formula>
    </cfRule>
  </conditionalFormatting>
  <conditionalFormatting sqref="AC25">
    <cfRule type="cellIs" dxfId="8" priority="11" stopIfTrue="1" operator="greaterThanOrEqual">
      <formula>611</formula>
    </cfRule>
  </conditionalFormatting>
  <conditionalFormatting sqref="AC26">
    <cfRule type="cellIs" dxfId="7" priority="8" stopIfTrue="1" operator="greaterThanOrEqual">
      <formula>611</formula>
    </cfRule>
  </conditionalFormatting>
  <conditionalFormatting sqref="AC27">
    <cfRule type="cellIs" dxfId="6" priority="7" stopIfTrue="1" operator="greaterThanOrEqual">
      <formula>611</formula>
    </cfRule>
  </conditionalFormatting>
  <conditionalFormatting sqref="AC27">
    <cfRule type="cellIs" dxfId="5" priority="6" stopIfTrue="1" operator="greaterThanOrEqual">
      <formula>611</formula>
    </cfRule>
  </conditionalFormatting>
  <conditionalFormatting sqref="AC28">
    <cfRule type="cellIs" dxfId="4" priority="5" stopIfTrue="1" operator="greaterThanOrEqual">
      <formula>611</formula>
    </cfRule>
  </conditionalFormatting>
  <conditionalFormatting sqref="AC29">
    <cfRule type="cellIs" dxfId="3" priority="4" stopIfTrue="1" operator="greaterThanOrEqual">
      <formula>611</formula>
    </cfRule>
  </conditionalFormatting>
  <conditionalFormatting sqref="AC30">
    <cfRule type="cellIs" dxfId="2" priority="3" stopIfTrue="1" operator="greaterThanOrEqual">
      <formula>611</formula>
    </cfRule>
  </conditionalFormatting>
  <conditionalFormatting sqref="AC32">
    <cfRule type="cellIs" dxfId="1" priority="2" stopIfTrue="1" operator="greaterThanOrEqual">
      <formula>611</formula>
    </cfRule>
  </conditionalFormatting>
  <conditionalFormatting sqref="AC33">
    <cfRule type="cellIs" dxfId="0" priority="1" stopIfTrue="1" operator="greaterThanOrEqual">
      <formula>611</formula>
    </cfRule>
  </conditionalFormatting>
  <pageMargins left="0.25" right="0.25" top="0.75" bottom="0.49" header="0.3" footer="0.3"/>
  <pageSetup paperSize="9" scale="38" fitToHeight="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0시축제</vt:lpstr>
      <vt:lpstr>'0시축제'!Print_Area</vt:lpstr>
      <vt:lpstr>'0시축제'!Print_Titles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Windows10</cp:lastModifiedBy>
  <cp:lastPrinted>2024-07-29T06:04:53Z</cp:lastPrinted>
  <dcterms:created xsi:type="dcterms:W3CDTF">2014-04-25T01:59:50Z</dcterms:created>
  <dcterms:modified xsi:type="dcterms:W3CDTF">2025-07-28T06:13:11Z</dcterms:modified>
</cp:coreProperties>
</file>